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J:\BIN\BMU\GIL\Groups\Eng\Project 012 - BWM_003 Phoenix (Spreaders)\12 - CALCOLI\SIMULATORE CALCOLO CONSUMI ELECTRA\"/>
    </mc:Choice>
  </mc:AlternateContent>
  <xr:revisionPtr revIDLastSave="0" documentId="13_ncr:1_{56737120-08D6-44D6-BB1F-8A6942BE09E6}" xr6:coauthVersionLast="44" xr6:coauthVersionMax="44" xr10:uidLastSave="{00000000-0000-0000-0000-000000000000}"/>
  <bookViews>
    <workbookView xWindow="810" yWindow="-120" windowWidth="28110" windowHeight="18240" tabRatio="898" xr2:uid="{00000000-000D-0000-FFFF-FFFF00000000}"/>
  </bookViews>
  <sheets>
    <sheet name="Simulation" sheetId="2" r:id="rId1"/>
    <sheet name="Calculation" sheetId="3" r:id="rId2"/>
  </sheets>
  <definedNames>
    <definedName name="_xlnm.Print_Area" localSheetId="0">Simulation!$A$1:$AG$71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3" i="3" l="1"/>
  <c r="J87" i="3"/>
  <c r="Y136" i="3" l="1"/>
  <c r="Y135" i="3"/>
  <c r="Y134" i="3"/>
  <c r="Y133" i="3"/>
  <c r="Y132" i="3"/>
  <c r="Y131" i="3"/>
  <c r="Y130" i="3"/>
  <c r="Y129" i="3"/>
  <c r="Y128" i="3"/>
  <c r="Y127" i="3"/>
  <c r="Y126" i="3"/>
  <c r="Y125" i="3"/>
  <c r="Y124" i="3"/>
  <c r="Y123" i="3"/>
  <c r="Y122" i="3"/>
  <c r="Y121" i="3"/>
  <c r="Y120" i="3"/>
  <c r="Y119" i="3"/>
  <c r="Y118" i="3"/>
  <c r="Y117" i="3"/>
  <c r="Y116" i="3"/>
  <c r="Y115" i="3"/>
  <c r="Y114" i="3"/>
  <c r="Y113" i="3"/>
  <c r="Y112" i="3"/>
  <c r="D12" i="2"/>
  <c r="AF3" i="3"/>
  <c r="D10" i="2"/>
  <c r="Y80" i="3" l="1"/>
  <c r="Y78" i="3"/>
  <c r="Y76" i="3"/>
  <c r="Y74" i="3"/>
  <c r="Y72" i="3"/>
  <c r="Y70" i="3"/>
  <c r="Y68" i="3"/>
  <c r="Y66" i="3"/>
  <c r="Y64" i="3"/>
  <c r="Y62" i="3"/>
  <c r="Y60" i="3"/>
  <c r="Y58" i="3"/>
  <c r="Y56" i="3"/>
  <c r="Y54" i="3"/>
  <c r="Y52" i="3"/>
  <c r="Y50" i="3"/>
  <c r="Y48" i="3"/>
  <c r="Y46" i="3"/>
  <c r="Y44" i="3"/>
  <c r="Y42" i="3"/>
  <c r="Y40" i="3"/>
  <c r="Y38" i="3"/>
  <c r="Y36" i="3"/>
  <c r="Y34" i="3"/>
  <c r="Y32" i="3"/>
  <c r="Y30" i="3"/>
  <c r="Y28" i="3"/>
  <c r="Y26" i="3"/>
  <c r="Y24" i="3"/>
  <c r="Y22" i="3"/>
  <c r="Y20" i="3"/>
  <c r="Y18" i="3"/>
  <c r="Y16" i="3"/>
  <c r="Y14" i="3"/>
  <c r="Y12" i="3"/>
  <c r="Y10" i="3"/>
  <c r="Y8" i="3"/>
  <c r="Y6" i="3"/>
  <c r="Y4" i="3"/>
  <c r="AD80" i="3"/>
  <c r="AD78" i="3"/>
  <c r="AD76" i="3"/>
  <c r="AD74" i="3"/>
  <c r="AD72" i="3"/>
  <c r="AD70" i="3"/>
  <c r="AD68" i="3"/>
  <c r="AD66" i="3"/>
  <c r="AD64" i="3"/>
  <c r="AD62" i="3"/>
  <c r="AD60" i="3"/>
  <c r="AD58" i="3"/>
  <c r="AD56" i="3"/>
  <c r="AD54" i="3"/>
  <c r="AD52" i="3"/>
  <c r="AD50" i="3"/>
  <c r="AD48" i="3"/>
  <c r="AD46" i="3"/>
  <c r="AD44" i="3"/>
  <c r="AD42" i="3"/>
  <c r="AD40" i="3"/>
  <c r="AD38" i="3"/>
  <c r="AD36" i="3"/>
  <c r="AD34" i="3"/>
  <c r="AD32" i="3"/>
  <c r="AD30" i="3"/>
  <c r="AD28" i="3"/>
  <c r="AD26" i="3"/>
  <c r="AD24" i="3"/>
  <c r="AD22" i="3"/>
  <c r="AD20" i="3"/>
  <c r="AD18" i="3"/>
  <c r="AD16" i="3"/>
  <c r="AD14" i="3"/>
  <c r="AD12" i="3"/>
  <c r="AD10" i="3"/>
  <c r="AD8" i="3"/>
  <c r="AD6" i="3"/>
  <c r="AD4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W189" i="3"/>
  <c r="W187" i="3"/>
  <c r="W185" i="3"/>
  <c r="W183" i="3"/>
  <c r="W181" i="3"/>
  <c r="W179" i="3"/>
  <c r="W177" i="3"/>
  <c r="W175" i="3"/>
  <c r="W173" i="3"/>
  <c r="W171" i="3"/>
  <c r="W169" i="3"/>
  <c r="W167" i="3"/>
  <c r="AU227" i="3" l="1"/>
  <c r="AU225" i="3"/>
  <c r="AU223" i="3"/>
  <c r="AU221" i="3"/>
  <c r="AU219" i="3"/>
  <c r="AU217" i="3"/>
  <c r="AU215" i="3"/>
  <c r="AU213" i="3"/>
  <c r="AU211" i="3"/>
  <c r="AU209" i="3"/>
  <c r="AU207" i="3"/>
  <c r="AU205" i="3"/>
  <c r="AU203" i="3"/>
  <c r="AU201" i="3"/>
  <c r="AU199" i="3"/>
  <c r="AU197" i="3"/>
  <c r="AU195" i="3"/>
  <c r="AU193" i="3"/>
  <c r="AU191" i="3"/>
  <c r="AU189" i="3"/>
  <c r="AU187" i="3"/>
  <c r="AU185" i="3"/>
  <c r="AU183" i="3"/>
  <c r="AU181" i="3"/>
  <c r="AU179" i="3"/>
  <c r="AU177" i="3"/>
  <c r="AU175" i="3"/>
  <c r="AU173" i="3"/>
  <c r="AU171" i="3"/>
  <c r="AU169" i="3"/>
  <c r="AU167" i="3"/>
  <c r="AU165" i="3"/>
  <c r="AU163" i="3"/>
  <c r="AU161" i="3"/>
  <c r="AU159" i="3"/>
  <c r="AU157" i="3"/>
  <c r="AL107" i="3" l="1"/>
  <c r="AK107" i="3" s="1"/>
  <c r="AL162" i="3" l="1"/>
  <c r="AL223" i="3"/>
  <c r="AK223" i="3" s="1"/>
  <c r="AL218" i="3"/>
  <c r="AL211" i="3"/>
  <c r="AK211" i="3" s="1"/>
  <c r="AL199" i="3"/>
  <c r="AK199" i="3" s="1"/>
  <c r="AL193" i="3"/>
  <c r="AH193" i="3" s="1"/>
  <c r="AL187" i="3"/>
  <c r="AK187" i="3" s="1"/>
  <c r="AL173" i="3"/>
  <c r="AH173" i="3" s="1"/>
  <c r="AL167" i="3"/>
  <c r="AK167" i="3" s="1"/>
  <c r="AL161" i="3"/>
  <c r="AH161" i="3" s="1"/>
  <c r="AL217" i="3"/>
  <c r="AH217" i="3" s="1"/>
  <c r="AL210" i="3"/>
  <c r="AL186" i="3"/>
  <c r="AL179" i="3"/>
  <c r="AK179" i="3" s="1"/>
  <c r="AL222" i="3"/>
  <c r="AL209" i="3"/>
  <c r="AH209" i="3" s="1"/>
  <c r="AL203" i="3"/>
  <c r="AK203" i="3" s="1"/>
  <c r="AL198" i="3"/>
  <c r="AL185" i="3"/>
  <c r="AH185" i="3" s="1"/>
  <c r="AL178" i="3"/>
  <c r="AL166" i="3"/>
  <c r="AL159" i="3"/>
  <c r="AK159" i="3" s="1"/>
  <c r="AL227" i="3"/>
  <c r="AK227" i="3" s="1"/>
  <c r="AL221" i="3"/>
  <c r="AH221" i="3" s="1"/>
  <c r="AL215" i="3"/>
  <c r="AK215" i="3" s="1"/>
  <c r="AL197" i="3"/>
  <c r="AH197" i="3" s="1"/>
  <c r="AL191" i="3"/>
  <c r="AK191" i="3" s="1"/>
  <c r="AL177" i="3"/>
  <c r="AH177" i="3" s="1"/>
  <c r="AL171" i="3"/>
  <c r="AK171" i="3" s="1"/>
  <c r="AL165" i="3"/>
  <c r="AH165" i="3" s="1"/>
  <c r="AL226" i="3"/>
  <c r="AL214" i="3"/>
  <c r="AL207" i="3"/>
  <c r="AK207" i="3" s="1"/>
  <c r="AL202" i="3"/>
  <c r="AL170" i="3"/>
  <c r="AL158" i="3"/>
  <c r="AL225" i="3"/>
  <c r="AH225" i="3" s="1"/>
  <c r="AL213" i="3"/>
  <c r="AH213" i="3" s="1"/>
  <c r="AL201" i="3"/>
  <c r="AH201" i="3" s="1"/>
  <c r="AL190" i="3"/>
  <c r="AL183" i="3"/>
  <c r="AK183" i="3" s="1"/>
  <c r="AL169" i="3"/>
  <c r="AH169" i="3" s="1"/>
  <c r="AL163" i="3"/>
  <c r="AK163" i="3" s="1"/>
  <c r="AL157" i="3"/>
  <c r="AH157" i="3" s="1"/>
  <c r="AL219" i="3"/>
  <c r="AK219" i="3" s="1"/>
  <c r="AL206" i="3"/>
  <c r="AL195" i="3"/>
  <c r="AK195" i="3" s="1"/>
  <c r="AL189" i="3"/>
  <c r="AH189" i="3" s="1"/>
  <c r="AL182" i="3"/>
  <c r="AL175" i="3"/>
  <c r="AK175" i="3" s="1"/>
  <c r="AL205" i="3"/>
  <c r="AH205" i="3" s="1"/>
  <c r="AL194" i="3"/>
  <c r="AL181" i="3"/>
  <c r="AH181" i="3" s="1"/>
  <c r="AL174" i="3"/>
  <c r="AU155" i="3"/>
  <c r="AU153" i="3"/>
  <c r="AU151" i="3"/>
  <c r="AU149" i="3"/>
  <c r="AU147" i="3"/>
  <c r="AU145" i="3"/>
  <c r="AU143" i="3"/>
  <c r="AU141" i="3"/>
  <c r="AU139" i="3"/>
  <c r="AU137" i="3"/>
  <c r="AU135" i="3"/>
  <c r="AU133" i="3"/>
  <c r="AU131" i="3"/>
  <c r="AU129" i="3"/>
  <c r="AU127" i="3"/>
  <c r="AU125" i="3"/>
  <c r="AU123" i="3"/>
  <c r="AU121" i="3"/>
  <c r="AU119" i="3"/>
  <c r="AU117" i="3"/>
  <c r="AU115" i="3"/>
  <c r="AU113" i="3"/>
  <c r="AU111" i="3"/>
  <c r="AU109" i="3"/>
  <c r="D6" i="2" l="1"/>
  <c r="J99" i="3"/>
  <c r="J104" i="3"/>
  <c r="J103" i="3" s="1"/>
  <c r="J110" i="3"/>
  <c r="J113" i="3"/>
  <c r="J112" i="3" s="1"/>
  <c r="J117" i="3"/>
  <c r="J116" i="3" s="1"/>
  <c r="J123" i="3"/>
  <c r="J125" i="3"/>
  <c r="J130" i="3"/>
  <c r="J135" i="3"/>
  <c r="J137" i="3"/>
  <c r="U51" i="3"/>
  <c r="J114" i="3" l="1"/>
  <c r="J118" i="3"/>
  <c r="J105" i="3"/>
  <c r="G74" i="3"/>
  <c r="G75" i="3" s="1"/>
  <c r="G76" i="3" l="1"/>
  <c r="Z114" i="3"/>
  <c r="Z115" i="3" s="1"/>
  <c r="Z116" i="3" s="1"/>
  <c r="Z117" i="3" s="1"/>
  <c r="Z118" i="3" s="1"/>
  <c r="Z119" i="3" s="1"/>
  <c r="Z120" i="3" s="1"/>
  <c r="Z121" i="3" s="1"/>
  <c r="Z122" i="3" s="1"/>
  <c r="Z123" i="3" s="1"/>
  <c r="Z124" i="3" s="1"/>
  <c r="Z125" i="3" s="1"/>
  <c r="Z126" i="3" s="1"/>
  <c r="Z127" i="3" s="1"/>
  <c r="Z128" i="3" s="1"/>
  <c r="Z129" i="3" s="1"/>
  <c r="Z130" i="3" s="1"/>
  <c r="Z131" i="3" s="1"/>
  <c r="Z132" i="3" s="1"/>
  <c r="Z133" i="3" s="1"/>
  <c r="Z134" i="3" s="1"/>
  <c r="Z135" i="3" s="1"/>
  <c r="Z136" i="3" s="1"/>
  <c r="G77" i="3" l="1"/>
  <c r="G78" i="3" l="1"/>
  <c r="AS3" i="3"/>
  <c r="AX3" i="3" s="1"/>
  <c r="G79" i="3" l="1"/>
  <c r="AN3" i="3"/>
  <c r="G80" i="3" l="1"/>
  <c r="G81" i="3" l="1"/>
  <c r="G82" i="3" l="1"/>
  <c r="G83" i="3" l="1"/>
  <c r="G84" i="3" l="1"/>
  <c r="G85" i="3"/>
  <c r="G86" i="3" l="1"/>
  <c r="G87" i="3" l="1"/>
  <c r="G88" i="3" l="1"/>
  <c r="G89" i="3" l="1"/>
  <c r="G90" i="3" l="1"/>
  <c r="AL139" i="3" l="1"/>
  <c r="AK139" i="3" s="1"/>
  <c r="AL133" i="3"/>
  <c r="AH133" i="3" s="1"/>
  <c r="AL126" i="3"/>
  <c r="AL151" i="3"/>
  <c r="AK151" i="3" s="1"/>
  <c r="AL145" i="3"/>
  <c r="AH145" i="3" s="1"/>
  <c r="AL138" i="3"/>
  <c r="AL119" i="3"/>
  <c r="AK119" i="3" s="1"/>
  <c r="AL113" i="3"/>
  <c r="AH113" i="3" s="1"/>
  <c r="AL150" i="3"/>
  <c r="AL131" i="3"/>
  <c r="AK131" i="3" s="1"/>
  <c r="AL125" i="3"/>
  <c r="AH125" i="3" s="1"/>
  <c r="AL118" i="3"/>
  <c r="AL143" i="3"/>
  <c r="AK143" i="3" s="1"/>
  <c r="AL137" i="3"/>
  <c r="AH137" i="3" s="1"/>
  <c r="AL130" i="3"/>
  <c r="AL111" i="3"/>
  <c r="AK111" i="3" s="1"/>
  <c r="AL155" i="3"/>
  <c r="AK155" i="3" s="1"/>
  <c r="AL149" i="3"/>
  <c r="AH149" i="3" s="1"/>
  <c r="AL142" i="3"/>
  <c r="AL123" i="3"/>
  <c r="AK123" i="3" s="1"/>
  <c r="AL117" i="3"/>
  <c r="AH117" i="3" s="1"/>
  <c r="AL110" i="3"/>
  <c r="AL154" i="3"/>
  <c r="AL135" i="3"/>
  <c r="AK135" i="3" s="1"/>
  <c r="AL129" i="3"/>
  <c r="AH129" i="3" s="1"/>
  <c r="AL122" i="3"/>
  <c r="AL147" i="3"/>
  <c r="AK147" i="3" s="1"/>
  <c r="AL141" i="3"/>
  <c r="AH141" i="3" s="1"/>
  <c r="AL134" i="3"/>
  <c r="AL115" i="3"/>
  <c r="AK115" i="3" s="1"/>
  <c r="AL109" i="3"/>
  <c r="AH109" i="3" s="1"/>
  <c r="AL153" i="3"/>
  <c r="AH153" i="3" s="1"/>
  <c r="AL146" i="3"/>
  <c r="AL127" i="3"/>
  <c r="AK127" i="3" s="1"/>
  <c r="AL121" i="3"/>
  <c r="AH121" i="3" s="1"/>
  <c r="AL114" i="3"/>
  <c r="G91" i="3"/>
  <c r="AL106" i="3"/>
  <c r="AL98" i="3"/>
  <c r="AL91" i="3"/>
  <c r="AK91" i="3" s="1"/>
  <c r="AL85" i="3"/>
  <c r="AH85" i="3" s="1"/>
  <c r="AL78" i="3"/>
  <c r="AL71" i="3"/>
  <c r="AK71" i="3" s="1"/>
  <c r="AL65" i="3"/>
  <c r="AH65" i="3" s="1"/>
  <c r="AL51" i="3"/>
  <c r="AK51" i="3" s="1"/>
  <c r="AL38" i="3"/>
  <c r="AL31" i="3"/>
  <c r="AK31" i="3" s="1"/>
  <c r="AL18" i="3"/>
  <c r="AL9" i="3"/>
  <c r="AH9" i="3" s="1"/>
  <c r="AU99" i="3"/>
  <c r="AU83" i="3"/>
  <c r="AU67" i="3"/>
  <c r="AU51" i="3"/>
  <c r="AU35" i="3"/>
  <c r="AU19" i="3"/>
  <c r="AL10" i="3"/>
  <c r="AL105" i="3"/>
  <c r="AH105" i="3" s="1"/>
  <c r="AL97" i="3"/>
  <c r="AH97" i="3" s="1"/>
  <c r="AL77" i="3"/>
  <c r="AH77" i="3" s="1"/>
  <c r="AL58" i="3"/>
  <c r="AL50" i="3"/>
  <c r="AL43" i="3"/>
  <c r="AK43" i="3" s="1"/>
  <c r="AL37" i="3"/>
  <c r="AH37" i="3" s="1"/>
  <c r="AL30" i="3"/>
  <c r="AL23" i="3"/>
  <c r="AK23" i="3" s="1"/>
  <c r="AL17" i="3"/>
  <c r="AH17" i="3" s="1"/>
  <c r="AU97" i="3"/>
  <c r="AU81" i="3"/>
  <c r="AU65" i="3"/>
  <c r="AU49" i="3"/>
  <c r="AU33" i="3"/>
  <c r="AU17" i="3"/>
  <c r="AL11" i="3"/>
  <c r="AK11" i="3" s="1"/>
  <c r="AL90" i="3"/>
  <c r="AL83" i="3"/>
  <c r="AK83" i="3" s="1"/>
  <c r="AL70" i="3"/>
  <c r="AL63" i="3"/>
  <c r="AK63" i="3" s="1"/>
  <c r="AL57" i="3"/>
  <c r="AH57" i="3" s="1"/>
  <c r="AL49" i="3"/>
  <c r="AH49" i="3" s="1"/>
  <c r="AL29" i="3"/>
  <c r="AH29" i="3" s="1"/>
  <c r="AU95" i="3"/>
  <c r="AU79" i="3"/>
  <c r="AU63" i="3"/>
  <c r="AU47" i="3"/>
  <c r="AU31" i="3"/>
  <c r="AU15" i="3"/>
  <c r="AL7" i="3"/>
  <c r="AK7" i="3" s="1"/>
  <c r="AL86" i="3"/>
  <c r="AL74" i="3"/>
  <c r="AL53" i="3"/>
  <c r="AH53" i="3" s="1"/>
  <c r="AL42" i="3"/>
  <c r="AL33" i="3"/>
  <c r="AH33" i="3" s="1"/>
  <c r="AL21" i="3"/>
  <c r="AH21" i="3" s="1"/>
  <c r="AU89" i="3"/>
  <c r="AU61" i="3"/>
  <c r="AU39" i="3"/>
  <c r="AU11" i="3"/>
  <c r="AL94" i="3"/>
  <c r="AL82" i="3"/>
  <c r="AL73" i="3"/>
  <c r="AH73" i="3" s="1"/>
  <c r="AL62" i="3"/>
  <c r="AL41" i="3"/>
  <c r="AH41" i="3" s="1"/>
  <c r="AU87" i="3"/>
  <c r="AU59" i="3"/>
  <c r="AU37" i="3"/>
  <c r="AU9" i="3"/>
  <c r="AL103" i="3"/>
  <c r="AK103" i="3" s="1"/>
  <c r="AL93" i="3"/>
  <c r="AH93" i="3" s="1"/>
  <c r="AL81" i="3"/>
  <c r="AH81" i="3" s="1"/>
  <c r="AL61" i="3"/>
  <c r="AH61" i="3" s="1"/>
  <c r="AL19" i="3"/>
  <c r="AK19" i="3" s="1"/>
  <c r="AU107" i="3"/>
  <c r="AU85" i="3"/>
  <c r="AU57" i="3"/>
  <c r="AU29" i="3"/>
  <c r="AU7" i="3"/>
  <c r="AL102" i="3"/>
  <c r="AL69" i="3"/>
  <c r="AH69" i="3" s="1"/>
  <c r="AL47" i="3"/>
  <c r="AK47" i="3" s="1"/>
  <c r="AL39" i="3"/>
  <c r="AK39" i="3" s="1"/>
  <c r="AL27" i="3"/>
  <c r="AK27" i="3" s="1"/>
  <c r="AU105" i="3"/>
  <c r="AU77" i="3"/>
  <c r="AU55" i="3"/>
  <c r="AU27" i="3"/>
  <c r="AU5" i="3"/>
  <c r="AL101" i="3"/>
  <c r="AH101" i="3" s="1"/>
  <c r="AL89" i="3"/>
  <c r="AH89" i="3" s="1"/>
  <c r="AL79" i="3"/>
  <c r="AK79" i="3" s="1"/>
  <c r="AL59" i="3"/>
  <c r="AK59" i="3" s="1"/>
  <c r="AL14" i="3"/>
  <c r="AU103" i="3"/>
  <c r="AU75" i="3"/>
  <c r="AU53" i="3"/>
  <c r="AU25" i="3"/>
  <c r="AL5" i="3"/>
  <c r="AH5" i="3" s="1"/>
  <c r="AL67" i="3"/>
  <c r="AK67" i="3" s="1"/>
  <c r="AL55" i="3"/>
  <c r="AK55" i="3" s="1"/>
  <c r="AL46" i="3"/>
  <c r="AL35" i="3"/>
  <c r="AK35" i="3" s="1"/>
  <c r="AL26" i="3"/>
  <c r="AL15" i="3"/>
  <c r="AK15" i="3" s="1"/>
  <c r="AU101" i="3"/>
  <c r="AU73" i="3"/>
  <c r="AU45" i="3"/>
  <c r="AU23" i="3"/>
  <c r="AL6" i="3"/>
  <c r="AL99" i="3"/>
  <c r="AK99" i="3" s="1"/>
  <c r="AL87" i="3"/>
  <c r="AK87" i="3" s="1"/>
  <c r="AL75" i="3"/>
  <c r="AK75" i="3" s="1"/>
  <c r="AL45" i="3"/>
  <c r="AH45" i="3" s="1"/>
  <c r="AL25" i="3"/>
  <c r="AH25" i="3" s="1"/>
  <c r="AL13" i="3"/>
  <c r="AH13" i="3" s="1"/>
  <c r="AU93" i="3"/>
  <c r="AU71" i="3"/>
  <c r="AU43" i="3"/>
  <c r="AU21" i="3"/>
  <c r="C16" i="3"/>
  <c r="AL95" i="3"/>
  <c r="AK95" i="3" s="1"/>
  <c r="AL66" i="3"/>
  <c r="AL54" i="3"/>
  <c r="AL34" i="3"/>
  <c r="AL22" i="3"/>
  <c r="AU91" i="3"/>
  <c r="AU69" i="3"/>
  <c r="AU41" i="3"/>
  <c r="AU13" i="3"/>
  <c r="AV225" i="3" l="1"/>
  <c r="AV217" i="3"/>
  <c r="AV209" i="3"/>
  <c r="AV201" i="3"/>
  <c r="AV193" i="3"/>
  <c r="AV185" i="3"/>
  <c r="AV177" i="3"/>
  <c r="AV169" i="3"/>
  <c r="AV161" i="3"/>
  <c r="AV223" i="3"/>
  <c r="AV215" i="3"/>
  <c r="AV207" i="3"/>
  <c r="AV199" i="3"/>
  <c r="AV191" i="3"/>
  <c r="AV175" i="3"/>
  <c r="AV167" i="3"/>
  <c r="AV159" i="3"/>
  <c r="AV173" i="3"/>
  <c r="AV157" i="3"/>
  <c r="AV227" i="3"/>
  <c r="AV211" i="3"/>
  <c r="AV195" i="3"/>
  <c r="AV171" i="3"/>
  <c r="AV183" i="3"/>
  <c r="AV221" i="3"/>
  <c r="AV213" i="3"/>
  <c r="AV205" i="3"/>
  <c r="AV197" i="3"/>
  <c r="AV189" i="3"/>
  <c r="AV181" i="3"/>
  <c r="AV165" i="3"/>
  <c r="AV219" i="3"/>
  <c r="AV203" i="3"/>
  <c r="AV187" i="3"/>
  <c r="AV179" i="3"/>
  <c r="AV163" i="3"/>
  <c r="AV155" i="3"/>
  <c r="AV115" i="3"/>
  <c r="AV153" i="3"/>
  <c r="AV149" i="3"/>
  <c r="AV145" i="3"/>
  <c r="AV141" i="3"/>
  <c r="AV137" i="3"/>
  <c r="AV133" i="3"/>
  <c r="AV129" i="3"/>
  <c r="AV125" i="3"/>
  <c r="AV121" i="3"/>
  <c r="AV117" i="3"/>
  <c r="AV113" i="3"/>
  <c r="AV109" i="3"/>
  <c r="AV151" i="3"/>
  <c r="AV147" i="3"/>
  <c r="AV143" i="3"/>
  <c r="AV139" i="3"/>
  <c r="AV135" i="3"/>
  <c r="AV131" i="3"/>
  <c r="AV127" i="3"/>
  <c r="AV123" i="3"/>
  <c r="AV119" i="3"/>
  <c r="AV111" i="3"/>
  <c r="G92" i="3"/>
  <c r="AV89" i="3"/>
  <c r="AV103" i="3"/>
  <c r="AV95" i="3"/>
  <c r="AV79" i="3"/>
  <c r="AV63" i="3"/>
  <c r="AV47" i="3"/>
  <c r="AV31" i="3"/>
  <c r="AV15" i="3"/>
  <c r="AV93" i="3"/>
  <c r="AV77" i="3"/>
  <c r="AV61" i="3"/>
  <c r="AV45" i="3"/>
  <c r="AV29" i="3"/>
  <c r="AV13" i="3"/>
  <c r="AV107" i="3"/>
  <c r="AV91" i="3"/>
  <c r="AV75" i="3"/>
  <c r="AV59" i="3"/>
  <c r="AV43" i="3"/>
  <c r="AV27" i="3"/>
  <c r="AV11" i="3"/>
  <c r="AV105" i="3"/>
  <c r="AV81" i="3"/>
  <c r="AV53" i="3"/>
  <c r="AV25" i="3"/>
  <c r="AV73" i="3"/>
  <c r="AV51" i="3"/>
  <c r="AV23" i="3"/>
  <c r="AV101" i="3"/>
  <c r="AV71" i="3"/>
  <c r="AV49" i="3"/>
  <c r="AV21" i="3"/>
  <c r="AV99" i="3"/>
  <c r="AV69" i="3"/>
  <c r="AV41" i="3"/>
  <c r="AV19" i="3"/>
  <c r="AV97" i="3"/>
  <c r="AV67" i="3"/>
  <c r="AV39" i="3"/>
  <c r="AV17" i="3"/>
  <c r="AV87" i="3"/>
  <c r="AV65" i="3"/>
  <c r="AV37" i="3"/>
  <c r="AV9" i="3"/>
  <c r="AV85" i="3"/>
  <c r="AV57" i="3"/>
  <c r="AV35" i="3"/>
  <c r="AV7" i="3"/>
  <c r="AV83" i="3"/>
  <c r="AV55" i="3"/>
  <c r="AV33" i="3"/>
  <c r="AV5" i="3"/>
  <c r="G93" i="3" l="1"/>
  <c r="J17" i="3"/>
  <c r="J47" i="3"/>
  <c r="J48" i="3" s="1"/>
  <c r="J43" i="3"/>
  <c r="J44" i="3" s="1"/>
  <c r="J34" i="3"/>
  <c r="J35" i="3" s="1"/>
  <c r="J29" i="3"/>
  <c r="J23" i="3"/>
  <c r="J40" i="3"/>
  <c r="J53" i="3"/>
  <c r="J55" i="3"/>
  <c r="J60" i="3"/>
  <c r="J65" i="3"/>
  <c r="J67" i="3"/>
  <c r="I48" i="3"/>
  <c r="W48" i="3"/>
  <c r="W28" i="3"/>
  <c r="W13" i="3"/>
  <c r="W3" i="3"/>
  <c r="L4" i="3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I28" i="3"/>
  <c r="I13" i="3"/>
  <c r="I3" i="3"/>
  <c r="H13" i="3"/>
  <c r="L18" i="3" l="1"/>
  <c r="L19" i="3" s="1"/>
  <c r="L20" i="3" s="1"/>
  <c r="L21" i="3" s="1"/>
  <c r="L22" i="3" s="1"/>
  <c r="L23" i="3" s="1"/>
  <c r="G94" i="3"/>
  <c r="U10" i="3"/>
  <c r="U12" i="3"/>
  <c r="V12" i="3"/>
  <c r="W7" i="3"/>
  <c r="U16" i="3"/>
  <c r="V10" i="3"/>
  <c r="U15" i="3"/>
  <c r="V9" i="3"/>
  <c r="U13" i="3"/>
  <c r="V7" i="3"/>
  <c r="V14" i="3"/>
  <c r="J33" i="3"/>
  <c r="V13" i="3"/>
  <c r="U17" i="3"/>
  <c r="W12" i="3"/>
  <c r="W4" i="3"/>
  <c r="W11" i="3"/>
  <c r="J42" i="3"/>
  <c r="U14" i="3"/>
  <c r="V11" i="3"/>
  <c r="W10" i="3"/>
  <c r="W9" i="3"/>
  <c r="J46" i="3"/>
  <c r="W6" i="3"/>
  <c r="W5" i="3"/>
  <c r="W8" i="3"/>
  <c r="U11" i="3"/>
  <c r="V8" i="3"/>
  <c r="L24" i="3" l="1"/>
  <c r="L25" i="3" s="1"/>
  <c r="L26" i="3" s="1"/>
  <c r="L27" i="3" s="1"/>
  <c r="L28" i="3" s="1"/>
  <c r="T18" i="3"/>
  <c r="T15" i="3"/>
  <c r="T20" i="3"/>
  <c r="T16" i="3"/>
  <c r="T14" i="3"/>
  <c r="T19" i="3"/>
  <c r="T21" i="3"/>
  <c r="T17" i="3"/>
  <c r="T22" i="3"/>
  <c r="G95" i="3"/>
  <c r="C12" i="3"/>
  <c r="C3" i="3"/>
  <c r="G4" i="3"/>
  <c r="G5" i="3" s="1"/>
  <c r="G6" i="3" s="1"/>
  <c r="G7" i="3" s="1"/>
  <c r="G8" i="3" s="1"/>
  <c r="G9" i="3" s="1"/>
  <c r="G10" i="3" s="1"/>
  <c r="G11" i="3" s="1"/>
  <c r="G12" i="3" s="1"/>
  <c r="G13" i="3" s="1"/>
  <c r="I7" i="2" l="1"/>
  <c r="E3" i="3"/>
  <c r="F3" i="3"/>
  <c r="S20" i="3"/>
  <c r="W15" i="3"/>
  <c r="W21" i="3"/>
  <c r="W26" i="3"/>
  <c r="W17" i="3"/>
  <c r="W24" i="3"/>
  <c r="L29" i="3"/>
  <c r="L30" i="3" s="1"/>
  <c r="L31" i="3" s="1"/>
  <c r="S22" i="3"/>
  <c r="W25" i="3"/>
  <c r="S21" i="3"/>
  <c r="W23" i="3"/>
  <c r="S27" i="3"/>
  <c r="W18" i="3"/>
  <c r="S17" i="3"/>
  <c r="W16" i="3"/>
  <c r="S18" i="3"/>
  <c r="W20" i="3"/>
  <c r="S25" i="3"/>
  <c r="S19" i="3"/>
  <c r="W22" i="3"/>
  <c r="W27" i="3"/>
  <c r="W14" i="3"/>
  <c r="S24" i="3"/>
  <c r="S26" i="3"/>
  <c r="W19" i="3"/>
  <c r="S23" i="3"/>
  <c r="D3" i="3"/>
  <c r="G96" i="3"/>
  <c r="G14" i="3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H23" i="3" s="1"/>
  <c r="I8" i="3"/>
  <c r="I7" i="3"/>
  <c r="I9" i="3"/>
  <c r="I12" i="3"/>
  <c r="I11" i="3"/>
  <c r="I10" i="3"/>
  <c r="I6" i="3"/>
  <c r="I4" i="3"/>
  <c r="I5" i="3"/>
  <c r="C13" i="3"/>
  <c r="J5" i="2" s="1"/>
  <c r="H3" i="3"/>
  <c r="V29" i="3" l="1"/>
  <c r="V26" i="3"/>
  <c r="V27" i="3"/>
  <c r="V28" i="3"/>
  <c r="V20" i="3"/>
  <c r="V23" i="3"/>
  <c r="V18" i="3"/>
  <c r="V17" i="3"/>
  <c r="V16" i="3"/>
  <c r="V30" i="3"/>
  <c r="V24" i="3"/>
  <c r="V21" i="3"/>
  <c r="V22" i="3"/>
  <c r="V19" i="3"/>
  <c r="V25" i="3"/>
  <c r="L32" i="3"/>
  <c r="L33" i="3" s="1"/>
  <c r="AV212" i="3"/>
  <c r="AV190" i="3"/>
  <c r="AV174" i="3"/>
  <c r="AV218" i="3"/>
  <c r="AV166" i="3"/>
  <c r="AV214" i="3"/>
  <c r="AV184" i="3"/>
  <c r="AV220" i="3"/>
  <c r="AV200" i="3"/>
  <c r="AV158" i="3"/>
  <c r="AV178" i="3"/>
  <c r="AV226" i="3"/>
  <c r="AV202" i="3"/>
  <c r="AV186" i="3"/>
  <c r="AV170" i="3"/>
  <c r="AV160" i="3"/>
  <c r="AV222" i="3"/>
  <c r="AV180" i="3"/>
  <c r="AV198" i="3"/>
  <c r="AV192" i="3"/>
  <c r="AV156" i="3"/>
  <c r="AV204" i="3"/>
  <c r="AV194" i="3"/>
  <c r="AV188" i="3"/>
  <c r="AV162" i="3"/>
  <c r="AV182" i="3"/>
  <c r="AV216" i="3"/>
  <c r="AV206" i="3"/>
  <c r="AV208" i="3"/>
  <c r="AV176" i="3"/>
  <c r="AV172" i="3"/>
  <c r="AV168" i="3"/>
  <c r="AV196" i="3"/>
  <c r="AV164" i="3"/>
  <c r="AV224" i="3"/>
  <c r="AV210" i="3"/>
  <c r="AL204" i="3"/>
  <c r="AL172" i="3"/>
  <c r="AL200" i="3"/>
  <c r="AL168" i="3"/>
  <c r="AL196" i="3"/>
  <c r="AL164" i="3"/>
  <c r="AL224" i="3"/>
  <c r="AL192" i="3"/>
  <c r="AL160" i="3"/>
  <c r="AL220" i="3"/>
  <c r="AL188" i="3"/>
  <c r="AL156" i="3"/>
  <c r="AL216" i="3"/>
  <c r="AL184" i="3"/>
  <c r="AL212" i="3"/>
  <c r="AL180" i="3"/>
  <c r="AL208" i="3"/>
  <c r="AL176" i="3"/>
  <c r="AV148" i="3"/>
  <c r="AV146" i="3"/>
  <c r="AL144" i="3"/>
  <c r="AV132" i="3"/>
  <c r="AV130" i="3"/>
  <c r="AL128" i="3"/>
  <c r="AV116" i="3"/>
  <c r="AV114" i="3"/>
  <c r="AL112" i="3"/>
  <c r="AV154" i="3"/>
  <c r="AV138" i="3"/>
  <c r="AV122" i="3"/>
  <c r="AL108" i="3"/>
  <c r="AV140" i="3"/>
  <c r="AL120" i="3"/>
  <c r="AV110" i="3"/>
  <c r="AV152" i="3"/>
  <c r="AV150" i="3"/>
  <c r="AL148" i="3"/>
  <c r="AV136" i="3"/>
  <c r="AV134" i="3"/>
  <c r="AL132" i="3"/>
  <c r="AV120" i="3"/>
  <c r="AV118" i="3"/>
  <c r="AL116" i="3"/>
  <c r="AL152" i="3"/>
  <c r="AL136" i="3"/>
  <c r="AV124" i="3"/>
  <c r="AV108" i="3"/>
  <c r="AV144" i="3"/>
  <c r="AV142" i="3"/>
  <c r="AL140" i="3"/>
  <c r="AV128" i="3"/>
  <c r="AV126" i="3"/>
  <c r="AL124" i="3"/>
  <c r="AV112" i="3"/>
  <c r="G97" i="3"/>
  <c r="AV98" i="3"/>
  <c r="AV90" i="3"/>
  <c r="AV82" i="3"/>
  <c r="AV74" i="3"/>
  <c r="AV66" i="3"/>
  <c r="AV58" i="3"/>
  <c r="AV50" i="3"/>
  <c r="AV42" i="3"/>
  <c r="AV34" i="3"/>
  <c r="AV26" i="3"/>
  <c r="AV18" i="3"/>
  <c r="AL84" i="3"/>
  <c r="AL44" i="3"/>
  <c r="AV96" i="3"/>
  <c r="AV88" i="3"/>
  <c r="AV72" i="3"/>
  <c r="AV56" i="3"/>
  <c r="AV40" i="3"/>
  <c r="AV32" i="3"/>
  <c r="AV16" i="3"/>
  <c r="AL76" i="3"/>
  <c r="AL68" i="3"/>
  <c r="AL40" i="3"/>
  <c r="AV86" i="3"/>
  <c r="AV62" i="3"/>
  <c r="AV38" i="3"/>
  <c r="AL32" i="3"/>
  <c r="AL80" i="3"/>
  <c r="AL20" i="3"/>
  <c r="AV104" i="3"/>
  <c r="AV80" i="3"/>
  <c r="AV64" i="3"/>
  <c r="AV48" i="3"/>
  <c r="AV24" i="3"/>
  <c r="AL72" i="3"/>
  <c r="AL16" i="3"/>
  <c r="AL64" i="3"/>
  <c r="AV94" i="3"/>
  <c r="AV54" i="3"/>
  <c r="AV22" i="3"/>
  <c r="AL36" i="3"/>
  <c r="AL56" i="3"/>
  <c r="AV100" i="3"/>
  <c r="AV92" i="3"/>
  <c r="AV84" i="3"/>
  <c r="AV76" i="3"/>
  <c r="AV68" i="3"/>
  <c r="AV60" i="3"/>
  <c r="AV52" i="3"/>
  <c r="AV44" i="3"/>
  <c r="AV36" i="3"/>
  <c r="AV28" i="3"/>
  <c r="AV20" i="3"/>
  <c r="AL52" i="3"/>
  <c r="AL48" i="3"/>
  <c r="AL104" i="3"/>
  <c r="AL100" i="3"/>
  <c r="AL96" i="3"/>
  <c r="AL92" i="3"/>
  <c r="AL88" i="3"/>
  <c r="AL24" i="3"/>
  <c r="AL12" i="3"/>
  <c r="AV102" i="3"/>
  <c r="AV78" i="3"/>
  <c r="AV70" i="3"/>
  <c r="AV46" i="3"/>
  <c r="AV30" i="3"/>
  <c r="AL60" i="3"/>
  <c r="AL28" i="3"/>
  <c r="AV4" i="3"/>
  <c r="AW4" i="3" s="1"/>
  <c r="AW5" i="3" s="1"/>
  <c r="AV8" i="3"/>
  <c r="AV6" i="3"/>
  <c r="AV10" i="3"/>
  <c r="AV106" i="3"/>
  <c r="AV14" i="3"/>
  <c r="AV12" i="3"/>
  <c r="AL8" i="3"/>
  <c r="AL4" i="3"/>
  <c r="AM4" i="3" s="1"/>
  <c r="AM5" i="3" s="1"/>
  <c r="AM6" i="3" s="1"/>
  <c r="AM7" i="3" s="1"/>
  <c r="I20" i="3"/>
  <c r="H20" i="3"/>
  <c r="I23" i="3"/>
  <c r="H25" i="3"/>
  <c r="H17" i="3"/>
  <c r="I24" i="3"/>
  <c r="H24" i="3"/>
  <c r="I16" i="3"/>
  <c r="I21" i="3"/>
  <c r="G29" i="3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I29" i="3" s="1"/>
  <c r="I14" i="3"/>
  <c r="I27" i="3"/>
  <c r="I25" i="3"/>
  <c r="H19" i="3"/>
  <c r="H16" i="3"/>
  <c r="H15" i="3"/>
  <c r="I26" i="3"/>
  <c r="I17" i="3"/>
  <c r="H14" i="3"/>
  <c r="I18" i="3"/>
  <c r="H22" i="3"/>
  <c r="H26" i="3"/>
  <c r="I15" i="3"/>
  <c r="I22" i="3"/>
  <c r="I19" i="3"/>
  <c r="H27" i="3"/>
  <c r="H21" i="3"/>
  <c r="H18" i="3"/>
  <c r="H10" i="3"/>
  <c r="H11" i="3"/>
  <c r="H8" i="3"/>
  <c r="H4" i="3"/>
  <c r="H12" i="3"/>
  <c r="H5" i="3"/>
  <c r="H6" i="3"/>
  <c r="H7" i="3"/>
  <c r="H9" i="3"/>
  <c r="R27" i="3" l="1"/>
  <c r="R24" i="3"/>
  <c r="R28" i="3"/>
  <c r="L34" i="3"/>
  <c r="L35" i="3" s="1"/>
  <c r="R30" i="3"/>
  <c r="R25" i="3"/>
  <c r="R26" i="3"/>
  <c r="R31" i="3"/>
  <c r="R23" i="3"/>
  <c r="R29" i="3"/>
  <c r="R22" i="3"/>
  <c r="R32" i="3"/>
  <c r="G98" i="3"/>
  <c r="AW6" i="3"/>
  <c r="AW7" i="3" s="1"/>
  <c r="AW8" i="3" s="1"/>
  <c r="AW9" i="3" s="1"/>
  <c r="AW10" i="3" s="1"/>
  <c r="AW11" i="3" s="1"/>
  <c r="AW12" i="3" s="1"/>
  <c r="AW13" i="3" s="1"/>
  <c r="AW14" i="3" s="1"/>
  <c r="AW15" i="3" s="1"/>
  <c r="AW16" i="3" s="1"/>
  <c r="AW17" i="3" s="1"/>
  <c r="AW18" i="3" s="1"/>
  <c r="AW19" i="3" s="1"/>
  <c r="AW20" i="3" s="1"/>
  <c r="AW21" i="3" s="1"/>
  <c r="AW22" i="3" s="1"/>
  <c r="AW23" i="3" s="1"/>
  <c r="AW24" i="3" s="1"/>
  <c r="AW25" i="3" s="1"/>
  <c r="AW26" i="3" s="1"/>
  <c r="AW27" i="3" s="1"/>
  <c r="AW28" i="3" s="1"/>
  <c r="AW29" i="3" s="1"/>
  <c r="AW30" i="3" s="1"/>
  <c r="AW31" i="3" s="1"/>
  <c r="AW32" i="3" s="1"/>
  <c r="AW33" i="3" s="1"/>
  <c r="AW34" i="3" s="1"/>
  <c r="AW35" i="3" s="1"/>
  <c r="AW36" i="3" s="1"/>
  <c r="AW37" i="3" s="1"/>
  <c r="AW38" i="3" s="1"/>
  <c r="AW39" i="3" s="1"/>
  <c r="AW40" i="3" s="1"/>
  <c r="AW41" i="3" s="1"/>
  <c r="AW42" i="3" s="1"/>
  <c r="AW43" i="3" s="1"/>
  <c r="AW44" i="3" s="1"/>
  <c r="AW45" i="3" s="1"/>
  <c r="AW46" i="3" s="1"/>
  <c r="AW47" i="3" s="1"/>
  <c r="AW48" i="3" s="1"/>
  <c r="AW49" i="3" s="1"/>
  <c r="AW50" i="3" s="1"/>
  <c r="AW51" i="3" s="1"/>
  <c r="AW52" i="3" s="1"/>
  <c r="AW53" i="3" s="1"/>
  <c r="AW54" i="3" s="1"/>
  <c r="AW55" i="3" s="1"/>
  <c r="AW56" i="3" s="1"/>
  <c r="AW57" i="3" s="1"/>
  <c r="AW58" i="3" s="1"/>
  <c r="AW59" i="3" s="1"/>
  <c r="AW60" i="3" s="1"/>
  <c r="AW61" i="3" s="1"/>
  <c r="AW62" i="3" s="1"/>
  <c r="AW63" i="3" s="1"/>
  <c r="AW64" i="3" s="1"/>
  <c r="AW65" i="3" s="1"/>
  <c r="AW66" i="3" s="1"/>
  <c r="AW67" i="3" s="1"/>
  <c r="AW68" i="3" s="1"/>
  <c r="AW69" i="3" s="1"/>
  <c r="AW70" i="3" s="1"/>
  <c r="AW71" i="3" s="1"/>
  <c r="AW72" i="3" s="1"/>
  <c r="AW73" i="3" s="1"/>
  <c r="AW74" i="3" s="1"/>
  <c r="AW75" i="3" s="1"/>
  <c r="AW76" i="3" s="1"/>
  <c r="AW77" i="3" s="1"/>
  <c r="AW78" i="3" s="1"/>
  <c r="AW79" i="3" s="1"/>
  <c r="AW80" i="3" s="1"/>
  <c r="AW81" i="3" s="1"/>
  <c r="AW82" i="3" s="1"/>
  <c r="AW83" i="3" s="1"/>
  <c r="AW84" i="3" s="1"/>
  <c r="AW85" i="3" s="1"/>
  <c r="AW86" i="3" s="1"/>
  <c r="AW87" i="3" s="1"/>
  <c r="AW88" i="3" s="1"/>
  <c r="AW89" i="3" s="1"/>
  <c r="AW90" i="3" s="1"/>
  <c r="AW91" i="3" s="1"/>
  <c r="AW92" i="3" s="1"/>
  <c r="AW93" i="3" s="1"/>
  <c r="AW94" i="3" s="1"/>
  <c r="AW95" i="3" s="1"/>
  <c r="AW96" i="3" s="1"/>
  <c r="AW97" i="3" s="1"/>
  <c r="AW98" i="3" s="1"/>
  <c r="AW99" i="3" s="1"/>
  <c r="AW100" i="3" s="1"/>
  <c r="AW101" i="3" s="1"/>
  <c r="AW102" i="3" s="1"/>
  <c r="AW103" i="3" s="1"/>
  <c r="AW104" i="3" s="1"/>
  <c r="AW105" i="3" s="1"/>
  <c r="AW106" i="3" s="1"/>
  <c r="AW107" i="3" s="1"/>
  <c r="AW108" i="3" s="1"/>
  <c r="AW109" i="3" s="1"/>
  <c r="AW110" i="3" s="1"/>
  <c r="AW111" i="3" s="1"/>
  <c r="AW112" i="3" s="1"/>
  <c r="AW113" i="3" s="1"/>
  <c r="AW114" i="3" s="1"/>
  <c r="AW115" i="3" s="1"/>
  <c r="AW116" i="3" s="1"/>
  <c r="AW117" i="3" s="1"/>
  <c r="AW118" i="3" s="1"/>
  <c r="AW119" i="3" s="1"/>
  <c r="AW120" i="3" s="1"/>
  <c r="AW121" i="3" s="1"/>
  <c r="AW122" i="3" s="1"/>
  <c r="AW123" i="3" s="1"/>
  <c r="AW124" i="3" s="1"/>
  <c r="AW125" i="3" s="1"/>
  <c r="AW126" i="3" s="1"/>
  <c r="AW127" i="3" s="1"/>
  <c r="AW128" i="3" s="1"/>
  <c r="AW129" i="3" s="1"/>
  <c r="AW130" i="3" s="1"/>
  <c r="AW131" i="3" s="1"/>
  <c r="AW132" i="3" s="1"/>
  <c r="AW133" i="3" s="1"/>
  <c r="AW134" i="3" s="1"/>
  <c r="AW135" i="3" s="1"/>
  <c r="AW136" i="3" s="1"/>
  <c r="AW137" i="3" s="1"/>
  <c r="AW138" i="3" s="1"/>
  <c r="AW139" i="3" s="1"/>
  <c r="AW140" i="3" s="1"/>
  <c r="AW141" i="3" s="1"/>
  <c r="AW142" i="3" s="1"/>
  <c r="AW143" i="3" s="1"/>
  <c r="AW144" i="3" s="1"/>
  <c r="AW145" i="3" s="1"/>
  <c r="AW146" i="3" s="1"/>
  <c r="AW147" i="3" s="1"/>
  <c r="AW148" i="3" s="1"/>
  <c r="AW149" i="3" s="1"/>
  <c r="AW150" i="3" s="1"/>
  <c r="AW151" i="3" s="1"/>
  <c r="AW152" i="3" s="1"/>
  <c r="AW153" i="3" s="1"/>
  <c r="AW154" i="3" s="1"/>
  <c r="AW155" i="3" s="1"/>
  <c r="AW156" i="3" s="1"/>
  <c r="AW157" i="3" s="1"/>
  <c r="AW158" i="3" s="1"/>
  <c r="AW159" i="3" s="1"/>
  <c r="AW160" i="3" s="1"/>
  <c r="AW161" i="3" s="1"/>
  <c r="AW162" i="3" s="1"/>
  <c r="AW163" i="3" s="1"/>
  <c r="AW164" i="3" s="1"/>
  <c r="AW165" i="3" s="1"/>
  <c r="AW166" i="3" s="1"/>
  <c r="AW167" i="3" s="1"/>
  <c r="AW168" i="3" s="1"/>
  <c r="AW169" i="3" s="1"/>
  <c r="AW170" i="3" s="1"/>
  <c r="AW171" i="3" s="1"/>
  <c r="AW172" i="3" s="1"/>
  <c r="AW173" i="3" s="1"/>
  <c r="AW174" i="3" s="1"/>
  <c r="AW175" i="3" s="1"/>
  <c r="AW176" i="3" s="1"/>
  <c r="AW177" i="3" s="1"/>
  <c r="AW178" i="3" s="1"/>
  <c r="AW179" i="3" s="1"/>
  <c r="AW180" i="3" s="1"/>
  <c r="AW181" i="3" s="1"/>
  <c r="AW182" i="3" s="1"/>
  <c r="AW183" i="3" s="1"/>
  <c r="AW184" i="3" s="1"/>
  <c r="AW185" i="3" s="1"/>
  <c r="AW186" i="3" s="1"/>
  <c r="AW187" i="3" s="1"/>
  <c r="AW188" i="3" s="1"/>
  <c r="AW189" i="3" s="1"/>
  <c r="AW190" i="3" s="1"/>
  <c r="AW191" i="3" s="1"/>
  <c r="AW192" i="3" s="1"/>
  <c r="AW193" i="3" s="1"/>
  <c r="AW194" i="3" s="1"/>
  <c r="AW195" i="3" s="1"/>
  <c r="AW196" i="3" s="1"/>
  <c r="AW197" i="3" s="1"/>
  <c r="AW198" i="3" s="1"/>
  <c r="AW199" i="3" s="1"/>
  <c r="AW200" i="3" s="1"/>
  <c r="AW201" i="3" s="1"/>
  <c r="AW202" i="3" s="1"/>
  <c r="AW203" i="3" s="1"/>
  <c r="AW204" i="3" s="1"/>
  <c r="AW205" i="3" s="1"/>
  <c r="AW206" i="3" s="1"/>
  <c r="AW207" i="3" s="1"/>
  <c r="AW208" i="3" s="1"/>
  <c r="AW209" i="3" s="1"/>
  <c r="AW210" i="3" s="1"/>
  <c r="AW211" i="3" s="1"/>
  <c r="AW212" i="3" s="1"/>
  <c r="AW213" i="3" s="1"/>
  <c r="AW214" i="3" s="1"/>
  <c r="AW215" i="3" s="1"/>
  <c r="AW216" i="3" s="1"/>
  <c r="AW217" i="3" s="1"/>
  <c r="AW218" i="3" s="1"/>
  <c r="AW219" i="3" s="1"/>
  <c r="AW220" i="3" s="1"/>
  <c r="AW221" i="3" s="1"/>
  <c r="AW222" i="3" s="1"/>
  <c r="AW223" i="3" s="1"/>
  <c r="AW224" i="3" s="1"/>
  <c r="AW225" i="3" s="1"/>
  <c r="AW226" i="3" s="1"/>
  <c r="AW227" i="3" s="1"/>
  <c r="AM8" i="3"/>
  <c r="AM9" i="3" s="1"/>
  <c r="AM10" i="3" s="1"/>
  <c r="AM11" i="3" s="1"/>
  <c r="AM12" i="3" s="1"/>
  <c r="AM13" i="3" s="1"/>
  <c r="AM14" i="3" s="1"/>
  <c r="AM15" i="3" s="1"/>
  <c r="AM16" i="3" s="1"/>
  <c r="AM17" i="3" s="1"/>
  <c r="AM18" i="3" s="1"/>
  <c r="AM19" i="3" s="1"/>
  <c r="AM20" i="3" s="1"/>
  <c r="AM21" i="3" s="1"/>
  <c r="AM22" i="3" s="1"/>
  <c r="AM23" i="3" s="1"/>
  <c r="AM24" i="3" s="1"/>
  <c r="AM25" i="3" s="1"/>
  <c r="AM26" i="3" s="1"/>
  <c r="AM27" i="3" s="1"/>
  <c r="AM28" i="3" s="1"/>
  <c r="AM29" i="3" s="1"/>
  <c r="AM30" i="3" s="1"/>
  <c r="AM31" i="3" s="1"/>
  <c r="AM32" i="3" s="1"/>
  <c r="AM33" i="3" s="1"/>
  <c r="AM34" i="3" s="1"/>
  <c r="AM35" i="3" s="1"/>
  <c r="AM36" i="3" s="1"/>
  <c r="AM37" i="3" s="1"/>
  <c r="AM38" i="3" s="1"/>
  <c r="AM39" i="3" s="1"/>
  <c r="AM40" i="3" s="1"/>
  <c r="AM41" i="3" s="1"/>
  <c r="AM42" i="3" s="1"/>
  <c r="AM43" i="3" s="1"/>
  <c r="AM44" i="3" s="1"/>
  <c r="AM45" i="3" s="1"/>
  <c r="AM46" i="3" s="1"/>
  <c r="AM47" i="3" s="1"/>
  <c r="AM48" i="3" s="1"/>
  <c r="AM49" i="3" s="1"/>
  <c r="AM50" i="3" s="1"/>
  <c r="AM51" i="3" s="1"/>
  <c r="AM52" i="3" s="1"/>
  <c r="AM53" i="3" s="1"/>
  <c r="AM54" i="3" s="1"/>
  <c r="AM55" i="3" s="1"/>
  <c r="AM56" i="3" s="1"/>
  <c r="AM57" i="3" s="1"/>
  <c r="AM58" i="3" s="1"/>
  <c r="AM59" i="3" s="1"/>
  <c r="AM60" i="3" s="1"/>
  <c r="AM61" i="3" s="1"/>
  <c r="AM62" i="3" s="1"/>
  <c r="AM63" i="3" s="1"/>
  <c r="AM64" i="3" s="1"/>
  <c r="AM65" i="3" s="1"/>
  <c r="AM66" i="3" s="1"/>
  <c r="AM67" i="3" s="1"/>
  <c r="AM68" i="3" s="1"/>
  <c r="AM69" i="3" s="1"/>
  <c r="AM70" i="3" s="1"/>
  <c r="AM71" i="3" s="1"/>
  <c r="AM72" i="3" s="1"/>
  <c r="AM73" i="3" s="1"/>
  <c r="AM74" i="3" s="1"/>
  <c r="AM75" i="3" s="1"/>
  <c r="AM76" i="3" s="1"/>
  <c r="AM77" i="3" s="1"/>
  <c r="AM78" i="3" s="1"/>
  <c r="AM79" i="3" s="1"/>
  <c r="AM80" i="3" s="1"/>
  <c r="AM81" i="3" s="1"/>
  <c r="AM82" i="3" s="1"/>
  <c r="AM83" i="3" s="1"/>
  <c r="AM84" i="3" s="1"/>
  <c r="AM85" i="3" s="1"/>
  <c r="AM86" i="3" s="1"/>
  <c r="AM87" i="3" s="1"/>
  <c r="AM88" i="3" s="1"/>
  <c r="AM89" i="3" s="1"/>
  <c r="AM90" i="3" s="1"/>
  <c r="AM91" i="3" s="1"/>
  <c r="AM92" i="3" s="1"/>
  <c r="AM93" i="3" s="1"/>
  <c r="AM94" i="3" s="1"/>
  <c r="AM95" i="3" s="1"/>
  <c r="AM96" i="3" s="1"/>
  <c r="AM97" i="3" s="1"/>
  <c r="AM98" i="3" s="1"/>
  <c r="AM99" i="3" s="1"/>
  <c r="AM100" i="3" s="1"/>
  <c r="AM101" i="3" s="1"/>
  <c r="AM102" i="3" s="1"/>
  <c r="AM103" i="3" s="1"/>
  <c r="AM104" i="3" s="1"/>
  <c r="AM105" i="3" s="1"/>
  <c r="AM106" i="3" s="1"/>
  <c r="AM107" i="3" s="1"/>
  <c r="I40" i="3"/>
  <c r="H31" i="3"/>
  <c r="I45" i="3"/>
  <c r="I41" i="3"/>
  <c r="I39" i="3"/>
  <c r="H43" i="3"/>
  <c r="H29" i="3"/>
  <c r="I34" i="3"/>
  <c r="H41" i="3"/>
  <c r="H42" i="3"/>
  <c r="I31" i="3"/>
  <c r="H35" i="3"/>
  <c r="H44" i="3"/>
  <c r="G49" i="3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H49" i="3" s="1"/>
  <c r="H37" i="3"/>
  <c r="I36" i="3"/>
  <c r="H46" i="3"/>
  <c r="H36" i="3"/>
  <c r="I44" i="3"/>
  <c r="I46" i="3"/>
  <c r="I47" i="3"/>
  <c r="I42" i="3"/>
  <c r="H47" i="3"/>
  <c r="H45" i="3"/>
  <c r="H33" i="3"/>
  <c r="H30" i="3"/>
  <c r="H38" i="3"/>
  <c r="I30" i="3"/>
  <c r="I37" i="3"/>
  <c r="I38" i="3"/>
  <c r="I32" i="3"/>
  <c r="I43" i="3"/>
  <c r="H34" i="3"/>
  <c r="I35" i="3"/>
  <c r="I33" i="3"/>
  <c r="H39" i="3"/>
  <c r="H32" i="3"/>
  <c r="H40" i="3"/>
  <c r="U21" i="3" l="1"/>
  <c r="U34" i="3"/>
  <c r="U31" i="3"/>
  <c r="U30" i="3"/>
  <c r="U28" i="3"/>
  <c r="U33" i="3"/>
  <c r="U29" i="3"/>
  <c r="U23" i="3"/>
  <c r="U19" i="3"/>
  <c r="U24" i="3"/>
  <c r="U32" i="3"/>
  <c r="U20" i="3"/>
  <c r="U25" i="3"/>
  <c r="U22" i="3"/>
  <c r="L36" i="3"/>
  <c r="U27" i="3"/>
  <c r="U26" i="3"/>
  <c r="AM108" i="3"/>
  <c r="AM109" i="3" s="1"/>
  <c r="AM110" i="3" s="1"/>
  <c r="AM111" i="3" s="1"/>
  <c r="AM112" i="3" s="1"/>
  <c r="AM113" i="3" s="1"/>
  <c r="AM114" i="3" s="1"/>
  <c r="AM115" i="3" s="1"/>
  <c r="AM116" i="3" s="1"/>
  <c r="AM117" i="3" s="1"/>
  <c r="AM118" i="3" s="1"/>
  <c r="AM119" i="3" s="1"/>
  <c r="AM120" i="3" s="1"/>
  <c r="AM121" i="3" s="1"/>
  <c r="AM122" i="3" s="1"/>
  <c r="AM123" i="3" s="1"/>
  <c r="AM124" i="3" s="1"/>
  <c r="AM125" i="3" s="1"/>
  <c r="AM126" i="3" s="1"/>
  <c r="AM127" i="3" s="1"/>
  <c r="AM128" i="3" s="1"/>
  <c r="AM129" i="3" s="1"/>
  <c r="AM130" i="3" s="1"/>
  <c r="AM131" i="3" s="1"/>
  <c r="AM132" i="3" s="1"/>
  <c r="AM133" i="3" s="1"/>
  <c r="AM134" i="3" s="1"/>
  <c r="AM135" i="3" s="1"/>
  <c r="AM136" i="3" s="1"/>
  <c r="AM137" i="3" s="1"/>
  <c r="AM138" i="3" s="1"/>
  <c r="AM139" i="3" s="1"/>
  <c r="AM140" i="3" s="1"/>
  <c r="AM141" i="3" s="1"/>
  <c r="AM142" i="3" s="1"/>
  <c r="AM143" i="3" s="1"/>
  <c r="AM144" i="3" s="1"/>
  <c r="AM145" i="3" s="1"/>
  <c r="AM146" i="3" s="1"/>
  <c r="AM147" i="3" s="1"/>
  <c r="AM148" i="3" s="1"/>
  <c r="AM149" i="3" s="1"/>
  <c r="AM150" i="3" s="1"/>
  <c r="AM151" i="3" s="1"/>
  <c r="AM152" i="3" s="1"/>
  <c r="AM153" i="3" s="1"/>
  <c r="AM154" i="3" s="1"/>
  <c r="AM155" i="3" s="1"/>
  <c r="AM156" i="3" s="1"/>
  <c r="AM157" i="3" s="1"/>
  <c r="AM158" i="3" s="1"/>
  <c r="AM159" i="3" s="1"/>
  <c r="AM160" i="3" s="1"/>
  <c r="AM161" i="3" s="1"/>
  <c r="AM162" i="3" s="1"/>
  <c r="AM163" i="3" s="1"/>
  <c r="AM164" i="3" s="1"/>
  <c r="AM165" i="3" s="1"/>
  <c r="AM166" i="3" s="1"/>
  <c r="AM167" i="3" s="1"/>
  <c r="AM168" i="3" s="1"/>
  <c r="AM169" i="3" s="1"/>
  <c r="AM170" i="3" s="1"/>
  <c r="AM171" i="3" s="1"/>
  <c r="AM172" i="3" s="1"/>
  <c r="AM173" i="3" s="1"/>
  <c r="AM174" i="3" s="1"/>
  <c r="AM175" i="3" s="1"/>
  <c r="AM176" i="3" s="1"/>
  <c r="AM177" i="3" s="1"/>
  <c r="AM178" i="3" s="1"/>
  <c r="AM179" i="3" s="1"/>
  <c r="AM180" i="3" s="1"/>
  <c r="AM181" i="3" s="1"/>
  <c r="AM182" i="3" s="1"/>
  <c r="AM183" i="3" s="1"/>
  <c r="AM184" i="3" s="1"/>
  <c r="AM185" i="3" s="1"/>
  <c r="AM186" i="3" s="1"/>
  <c r="AM187" i="3" s="1"/>
  <c r="AM188" i="3" s="1"/>
  <c r="AM189" i="3" s="1"/>
  <c r="AM190" i="3" s="1"/>
  <c r="AM191" i="3" s="1"/>
  <c r="AM192" i="3" s="1"/>
  <c r="AM193" i="3" s="1"/>
  <c r="AM194" i="3" s="1"/>
  <c r="AM195" i="3" s="1"/>
  <c r="AM196" i="3" s="1"/>
  <c r="AM197" i="3" s="1"/>
  <c r="AM198" i="3" s="1"/>
  <c r="AM199" i="3" s="1"/>
  <c r="AM200" i="3" s="1"/>
  <c r="AM201" i="3" s="1"/>
  <c r="AM202" i="3" s="1"/>
  <c r="AM203" i="3" s="1"/>
  <c r="AM204" i="3" s="1"/>
  <c r="AM205" i="3" s="1"/>
  <c r="AM206" i="3" s="1"/>
  <c r="AM207" i="3" s="1"/>
  <c r="AM208" i="3" s="1"/>
  <c r="AM209" i="3" s="1"/>
  <c r="AM210" i="3" s="1"/>
  <c r="AM211" i="3" s="1"/>
  <c r="AM212" i="3" s="1"/>
  <c r="AM213" i="3" s="1"/>
  <c r="AM214" i="3" s="1"/>
  <c r="AM215" i="3" s="1"/>
  <c r="AM216" i="3" s="1"/>
  <c r="AM217" i="3" s="1"/>
  <c r="AM218" i="3" s="1"/>
  <c r="AM219" i="3" s="1"/>
  <c r="AM220" i="3" s="1"/>
  <c r="AM221" i="3" s="1"/>
  <c r="AM222" i="3" s="1"/>
  <c r="AM223" i="3" s="1"/>
  <c r="AM224" i="3" s="1"/>
  <c r="AM225" i="3" s="1"/>
  <c r="AM226" i="3" s="1"/>
  <c r="AM227" i="3" s="1"/>
  <c r="G99" i="3"/>
  <c r="H53" i="3"/>
  <c r="H66" i="3"/>
  <c r="H55" i="3"/>
  <c r="H56" i="3"/>
  <c r="H64" i="3"/>
  <c r="H61" i="3"/>
  <c r="H65" i="3"/>
  <c r="H63" i="3"/>
  <c r="H67" i="3"/>
  <c r="H57" i="3"/>
  <c r="H60" i="3"/>
  <c r="H58" i="3"/>
  <c r="H50" i="3"/>
  <c r="H52" i="3"/>
  <c r="H54" i="3"/>
  <c r="H51" i="3"/>
  <c r="H62" i="3"/>
  <c r="H59" i="3"/>
  <c r="G100" i="3" l="1"/>
  <c r="L37" i="3"/>
  <c r="L38" i="3" s="1"/>
  <c r="G101" i="3"/>
  <c r="L39" i="3" l="1"/>
  <c r="T31" i="3"/>
  <c r="T36" i="3"/>
  <c r="T37" i="3"/>
  <c r="T33" i="3"/>
  <c r="T28" i="3"/>
  <c r="T35" i="3"/>
  <c r="T26" i="3"/>
  <c r="T34" i="3"/>
  <c r="T24" i="3"/>
  <c r="T25" i="3"/>
  <c r="T30" i="3"/>
  <c r="T27" i="3"/>
  <c r="T32" i="3"/>
  <c r="T29" i="3"/>
  <c r="G102" i="3"/>
  <c r="L40" i="3" l="1"/>
  <c r="L41" i="3" s="1"/>
  <c r="G103" i="3"/>
  <c r="L42" i="3" l="1"/>
  <c r="S40" i="3"/>
  <c r="S38" i="3"/>
  <c r="S37" i="3"/>
  <c r="S39" i="3"/>
  <c r="S35" i="3"/>
  <c r="S36" i="3"/>
  <c r="G104" i="3"/>
  <c r="S29" i="3" l="1"/>
  <c r="S32" i="3"/>
  <c r="S30" i="3"/>
  <c r="S33" i="3"/>
  <c r="S31" i="3"/>
  <c r="S34" i="3"/>
  <c r="L43" i="3"/>
  <c r="G105" i="3"/>
  <c r="L44" i="3" l="1"/>
  <c r="P38" i="3"/>
  <c r="P37" i="3"/>
  <c r="P41" i="3"/>
  <c r="P39" i="3"/>
  <c r="P36" i="3"/>
  <c r="P40" i="3"/>
  <c r="P42" i="3"/>
  <c r="G106" i="3"/>
  <c r="L45" i="3" l="1"/>
  <c r="G107" i="3"/>
  <c r="R44" i="3" l="1"/>
  <c r="L46" i="3"/>
  <c r="L47" i="3" s="1"/>
  <c r="L48" i="3" s="1"/>
  <c r="R37" i="3"/>
  <c r="R39" i="3"/>
  <c r="R42" i="3"/>
  <c r="R36" i="3"/>
  <c r="R35" i="3"/>
  <c r="R38" i="3"/>
  <c r="R40" i="3"/>
  <c r="R34" i="3"/>
  <c r="R43" i="3"/>
  <c r="R41" i="3"/>
  <c r="G108" i="3"/>
  <c r="W30" i="3" l="1"/>
  <c r="W43" i="3"/>
  <c r="Q47" i="3"/>
  <c r="O45" i="3"/>
  <c r="W31" i="3"/>
  <c r="W38" i="3"/>
  <c r="Q44" i="3"/>
  <c r="O44" i="3"/>
  <c r="O46" i="3"/>
  <c r="Q42" i="3"/>
  <c r="W36" i="3"/>
  <c r="W29" i="3"/>
  <c r="W37" i="3"/>
  <c r="W32" i="3"/>
  <c r="Q41" i="3"/>
  <c r="O47" i="3"/>
  <c r="L49" i="3"/>
  <c r="L50" i="3" s="1"/>
  <c r="W35" i="3"/>
  <c r="W34" i="3"/>
  <c r="Q45" i="3"/>
  <c r="W44" i="3"/>
  <c r="O43" i="3"/>
  <c r="W46" i="3"/>
  <c r="Q39" i="3"/>
  <c r="W40" i="3"/>
  <c r="W42" i="3"/>
  <c r="W47" i="3"/>
  <c r="Q43" i="3"/>
  <c r="O42" i="3"/>
  <c r="W41" i="3"/>
  <c r="Q46" i="3"/>
  <c r="Q40" i="3"/>
  <c r="W45" i="3"/>
  <c r="W39" i="3"/>
  <c r="W33" i="3"/>
  <c r="W49" i="3"/>
  <c r="G109" i="3"/>
  <c r="W50" i="3" l="1"/>
  <c r="V37" i="3"/>
  <c r="V35" i="3"/>
  <c r="L51" i="3"/>
  <c r="V42" i="3"/>
  <c r="V43" i="3"/>
  <c r="V39" i="3"/>
  <c r="V46" i="3"/>
  <c r="V32" i="3"/>
  <c r="V47" i="3"/>
  <c r="V49" i="3"/>
  <c r="V40" i="3"/>
  <c r="V48" i="3"/>
  <c r="V45" i="3"/>
  <c r="V33" i="3"/>
  <c r="V44" i="3"/>
  <c r="V41" i="3"/>
  <c r="V38" i="3"/>
  <c r="V34" i="3"/>
  <c r="V36" i="3"/>
  <c r="G110" i="3"/>
  <c r="V51" i="3" l="1"/>
  <c r="U41" i="3"/>
  <c r="U40" i="3"/>
  <c r="U43" i="3"/>
  <c r="U46" i="3"/>
  <c r="U50" i="3"/>
  <c r="U48" i="3"/>
  <c r="L52" i="3"/>
  <c r="U49" i="3"/>
  <c r="U47" i="3"/>
  <c r="U38" i="3"/>
  <c r="U44" i="3"/>
  <c r="U45" i="3"/>
  <c r="U37" i="3"/>
  <c r="U39" i="3"/>
  <c r="U42" i="3"/>
  <c r="U36" i="3"/>
  <c r="W51" i="3"/>
  <c r="G111" i="3"/>
  <c r="U52" i="3" l="1"/>
  <c r="L53" i="3"/>
  <c r="W52" i="3"/>
  <c r="V52" i="3"/>
  <c r="G112" i="3"/>
  <c r="T42" i="3" l="1"/>
  <c r="T44" i="3"/>
  <c r="T41" i="3"/>
  <c r="T47" i="3"/>
  <c r="T50" i="3"/>
  <c r="T52" i="3"/>
  <c r="T51" i="3"/>
  <c r="L54" i="3"/>
  <c r="T54" i="3" s="1"/>
  <c r="T46" i="3"/>
  <c r="T43" i="3"/>
  <c r="T48" i="3"/>
  <c r="T49" i="3"/>
  <c r="T40" i="3"/>
  <c r="T45" i="3"/>
  <c r="T39" i="3"/>
  <c r="W53" i="3"/>
  <c r="V53" i="3"/>
  <c r="U53" i="3"/>
  <c r="G113" i="3"/>
  <c r="W54" i="3" l="1"/>
  <c r="L55" i="3"/>
  <c r="V54" i="3"/>
  <c r="U54" i="3"/>
  <c r="G114" i="3"/>
  <c r="L56" i="3" l="1"/>
  <c r="S46" i="3"/>
  <c r="V55" i="3"/>
  <c r="S44" i="3"/>
  <c r="S48" i="3"/>
  <c r="S53" i="3"/>
  <c r="S50" i="3"/>
  <c r="S43" i="3"/>
  <c r="S47" i="3"/>
  <c r="S54" i="3"/>
  <c r="S42" i="3"/>
  <c r="S45" i="3"/>
  <c r="W55" i="3"/>
  <c r="S52" i="3"/>
  <c r="S51" i="3"/>
  <c r="S56" i="3"/>
  <c r="S49" i="3"/>
  <c r="U55" i="3"/>
  <c r="T55" i="3"/>
  <c r="G115" i="3"/>
  <c r="L57" i="3" l="1"/>
  <c r="R54" i="3"/>
  <c r="R46" i="3"/>
  <c r="W56" i="3"/>
  <c r="R55" i="3"/>
  <c r="R47" i="3"/>
  <c r="R50" i="3"/>
  <c r="R52" i="3"/>
  <c r="R53" i="3"/>
  <c r="V56" i="3"/>
  <c r="R51" i="3"/>
  <c r="R48" i="3"/>
  <c r="R49" i="3"/>
  <c r="U56" i="3"/>
  <c r="T56" i="3"/>
  <c r="G116" i="3"/>
  <c r="R57" i="3" l="1"/>
  <c r="W57" i="3"/>
  <c r="V57" i="3"/>
  <c r="U57" i="3"/>
  <c r="L58" i="3"/>
  <c r="T57" i="3"/>
  <c r="S57" i="3"/>
  <c r="G117" i="3"/>
  <c r="U58" i="3" l="1"/>
  <c r="L59" i="3"/>
  <c r="W58" i="3"/>
  <c r="T58" i="3"/>
  <c r="V58" i="3"/>
  <c r="S58" i="3"/>
  <c r="R58" i="3"/>
  <c r="G118" i="3"/>
  <c r="G119" i="3" s="1"/>
  <c r="W59" i="3" l="1"/>
  <c r="T59" i="3"/>
  <c r="V59" i="3"/>
  <c r="U59" i="3"/>
  <c r="L60" i="3"/>
  <c r="S59" i="3"/>
  <c r="R59" i="3"/>
  <c r="G120" i="3"/>
  <c r="R60" i="3" l="1"/>
  <c r="U60" i="3"/>
  <c r="S60" i="3"/>
  <c r="L61" i="3"/>
  <c r="W60" i="3"/>
  <c r="V60" i="3"/>
  <c r="T60" i="3"/>
  <c r="G121" i="3"/>
  <c r="W61" i="3" l="1"/>
  <c r="V61" i="3"/>
  <c r="R61" i="3"/>
  <c r="U61" i="3"/>
  <c r="S61" i="3"/>
  <c r="T61" i="3"/>
  <c r="L62" i="3"/>
  <c r="G122" i="3"/>
  <c r="R62" i="3" l="1"/>
  <c r="L63" i="3"/>
  <c r="W62" i="3"/>
  <c r="T62" i="3"/>
  <c r="S62" i="3"/>
  <c r="V62" i="3"/>
  <c r="U62" i="3"/>
  <c r="G123" i="3"/>
  <c r="L64" i="3" l="1"/>
  <c r="V63" i="3"/>
  <c r="S63" i="3"/>
  <c r="W63" i="3"/>
  <c r="U63" i="3"/>
  <c r="T63" i="3"/>
  <c r="R63" i="3"/>
  <c r="G124" i="3"/>
  <c r="L65" i="3" l="1"/>
  <c r="T64" i="3"/>
  <c r="W64" i="3"/>
  <c r="R64" i="3"/>
  <c r="V64" i="3"/>
  <c r="U64" i="3"/>
  <c r="S64" i="3"/>
  <c r="G125" i="3"/>
  <c r="L66" i="3" l="1"/>
  <c r="V65" i="3"/>
  <c r="S65" i="3"/>
  <c r="W65" i="3"/>
  <c r="U65" i="3"/>
  <c r="T65" i="3"/>
  <c r="R65" i="3"/>
  <c r="G126" i="3"/>
  <c r="W66" i="3" l="1"/>
  <c r="V66" i="3"/>
  <c r="T66" i="3"/>
  <c r="S66" i="3"/>
  <c r="R66" i="3"/>
  <c r="U66" i="3"/>
  <c r="L67" i="3"/>
  <c r="G127" i="3"/>
  <c r="W67" i="3" l="1"/>
  <c r="C8" i="3" s="1"/>
  <c r="V67" i="3"/>
  <c r="U67" i="3"/>
  <c r="T67" i="3"/>
  <c r="S67" i="3"/>
  <c r="R67" i="3"/>
  <c r="H77" i="3"/>
  <c r="H78" i="3"/>
  <c r="H81" i="3"/>
  <c r="H82" i="3"/>
  <c r="H79" i="3"/>
  <c r="H80" i="3"/>
  <c r="H95" i="3"/>
  <c r="H93" i="3"/>
  <c r="H92" i="3"/>
  <c r="H90" i="3"/>
  <c r="H87" i="3"/>
  <c r="H84" i="3"/>
  <c r="H86" i="3"/>
  <c r="H88" i="3"/>
  <c r="H91" i="3"/>
  <c r="H89" i="3"/>
  <c r="H94" i="3"/>
  <c r="H85" i="3"/>
  <c r="H99" i="3"/>
  <c r="H107" i="3"/>
  <c r="H102" i="3"/>
  <c r="H117" i="3"/>
  <c r="H121" i="3"/>
  <c r="H115" i="3"/>
  <c r="H118" i="3"/>
  <c r="H125" i="3"/>
  <c r="H105" i="3"/>
  <c r="H114" i="3"/>
  <c r="H100" i="3"/>
  <c r="H113" i="3"/>
  <c r="H111" i="3"/>
  <c r="H108" i="3"/>
  <c r="H119" i="3"/>
  <c r="H97" i="3"/>
  <c r="H123" i="3"/>
  <c r="H106" i="3"/>
  <c r="H96" i="3"/>
  <c r="H103" i="3"/>
  <c r="H110" i="3"/>
  <c r="H122" i="3"/>
  <c r="H126" i="3"/>
  <c r="H116" i="3"/>
  <c r="H101" i="3"/>
  <c r="H104" i="3"/>
  <c r="H124" i="3"/>
  <c r="H109" i="3"/>
  <c r="H120" i="3"/>
  <c r="H112" i="3"/>
  <c r="G128" i="3"/>
  <c r="H128" i="3" s="1"/>
  <c r="G129" i="3" l="1"/>
  <c r="H129" i="3" s="1"/>
  <c r="G130" i="3" l="1"/>
  <c r="H130" i="3" s="1"/>
  <c r="G131" i="3" l="1"/>
  <c r="H131" i="3" s="1"/>
  <c r="G132" i="3" l="1"/>
  <c r="H132" i="3" s="1"/>
  <c r="G133" i="3" l="1"/>
  <c r="H133" i="3" s="1"/>
  <c r="G134" i="3" l="1"/>
  <c r="H134" i="3" s="1"/>
  <c r="G135" i="3" l="1"/>
  <c r="H135" i="3" s="1"/>
  <c r="G136" i="3" l="1"/>
  <c r="H136" i="3" s="1"/>
  <c r="G137" i="3" l="1"/>
  <c r="H137" i="3" s="1"/>
  <c r="G138" i="3" l="1"/>
  <c r="C5" i="3" l="1"/>
  <c r="C6" i="3"/>
  <c r="C7" i="3"/>
  <c r="D7" i="3" s="1"/>
  <c r="C10" i="3" l="1"/>
  <c r="AT118" i="3" l="1"/>
  <c r="AT50" i="3"/>
  <c r="AG172" i="3"/>
  <c r="AG48" i="3"/>
  <c r="AG184" i="3"/>
  <c r="AT92" i="3"/>
  <c r="AT178" i="3"/>
  <c r="AT72" i="3"/>
  <c r="AG212" i="3"/>
  <c r="AT18" i="3"/>
  <c r="AT192" i="3"/>
  <c r="AT84" i="3"/>
  <c r="AT210" i="3"/>
  <c r="AT200" i="3"/>
  <c r="AT142" i="3"/>
  <c r="AG100" i="3"/>
  <c r="AG4" i="3"/>
  <c r="AF4" i="3" s="1"/>
  <c r="AT208" i="3"/>
  <c r="AT22" i="3"/>
  <c r="AG160" i="3"/>
  <c r="AG12" i="3"/>
  <c r="AT188" i="3"/>
  <c r="AT216" i="3"/>
  <c r="AT38" i="3"/>
  <c r="AT206" i="3"/>
  <c r="AG128" i="3"/>
  <c r="AT24" i="3"/>
  <c r="AT112" i="3"/>
  <c r="AG64" i="3"/>
  <c r="AG124" i="3"/>
  <c r="AT62" i="3"/>
  <c r="AT172" i="3"/>
  <c r="AT68" i="3"/>
  <c r="AG224" i="3"/>
  <c r="AT12" i="3"/>
  <c r="AT222" i="3"/>
  <c r="AG84" i="3"/>
  <c r="AG168" i="3"/>
  <c r="AT170" i="3"/>
  <c r="AT124" i="3"/>
  <c r="AG68" i="3"/>
  <c r="AT80" i="3"/>
  <c r="AT184" i="3"/>
  <c r="AT86" i="3"/>
  <c r="AG164" i="3"/>
  <c r="AT82" i="3"/>
  <c r="AT40" i="3"/>
  <c r="AT94" i="3"/>
  <c r="AG108" i="3"/>
  <c r="AT156" i="3"/>
  <c r="AT126" i="3"/>
  <c r="AT88" i="3"/>
  <c r="AG148" i="3"/>
  <c r="AT196" i="3"/>
  <c r="AT116" i="3"/>
  <c r="AT66" i="3"/>
  <c r="AT224" i="3"/>
  <c r="AG16" i="3"/>
  <c r="AG156" i="3"/>
  <c r="AT36" i="3"/>
  <c r="AG204" i="3"/>
  <c r="AG140" i="3"/>
  <c r="AT148" i="3"/>
  <c r="AT168" i="3"/>
  <c r="AT10" i="3"/>
  <c r="AG60" i="3"/>
  <c r="AT46" i="3"/>
  <c r="AG200" i="3"/>
  <c r="AG112" i="3"/>
  <c r="AT54" i="3"/>
  <c r="AT136" i="3"/>
  <c r="AT32" i="3"/>
  <c r="AG32" i="3"/>
  <c r="AT96" i="3"/>
  <c r="AT190" i="3"/>
  <c r="AT154" i="3"/>
  <c r="AT98" i="3"/>
  <c r="AT78" i="3"/>
  <c r="AT194" i="3"/>
  <c r="AT110" i="3"/>
  <c r="AT64" i="3"/>
  <c r="AT204" i="3"/>
  <c r="AT44" i="3"/>
  <c r="AT146" i="3"/>
  <c r="AT74" i="3"/>
  <c r="AT150" i="3"/>
  <c r="AT90" i="3"/>
  <c r="AT134" i="3"/>
  <c r="AG208" i="3"/>
  <c r="AG8" i="3"/>
  <c r="AT158" i="3"/>
  <c r="AG96" i="3"/>
  <c r="AG192" i="3"/>
  <c r="AT14" i="3"/>
  <c r="AT138" i="3"/>
  <c r="AG220" i="3"/>
  <c r="AG56" i="3"/>
  <c r="AG92" i="3"/>
  <c r="AG216" i="3"/>
  <c r="AT42" i="3"/>
  <c r="AT180" i="3"/>
  <c r="AT108" i="3"/>
  <c r="AG88" i="3"/>
  <c r="AT104" i="3"/>
  <c r="AT174" i="3"/>
  <c r="AG152" i="3"/>
  <c r="AT6" i="3"/>
  <c r="AG180" i="3"/>
  <c r="AT160" i="3"/>
  <c r="AT152" i="3"/>
  <c r="AT60" i="3"/>
  <c r="AT120" i="3"/>
  <c r="AT20" i="3"/>
  <c r="AT218" i="3"/>
  <c r="AT30" i="3"/>
  <c r="AG72" i="3"/>
  <c r="AT48" i="3"/>
  <c r="AT176" i="3"/>
  <c r="AT144" i="3"/>
  <c r="AG24" i="3"/>
  <c r="AT114" i="3"/>
  <c r="AT220" i="3"/>
  <c r="AG116" i="3"/>
  <c r="AG104" i="3"/>
  <c r="AT122" i="3"/>
  <c r="AT26" i="3"/>
  <c r="AT100" i="3"/>
  <c r="AT4" i="3"/>
  <c r="AS4" i="3" s="1"/>
  <c r="AT130" i="3"/>
  <c r="AG196" i="3"/>
  <c r="AT8" i="3"/>
  <c r="AG28" i="3"/>
  <c r="AT70" i="3"/>
  <c r="AT214" i="3"/>
  <c r="AT102" i="3"/>
  <c r="AG40" i="3"/>
  <c r="AT140" i="3"/>
  <c r="AT186" i="3"/>
  <c r="AG136" i="3"/>
  <c r="AG76" i="3"/>
  <c r="AT58" i="3"/>
  <c r="AG44" i="3"/>
  <c r="AG20" i="3"/>
  <c r="AG144" i="3"/>
  <c r="AT56" i="3"/>
  <c r="AT132" i="3"/>
  <c r="AT166" i="3"/>
  <c r="AT162" i="3"/>
  <c r="AG188" i="3"/>
  <c r="AT28" i="3"/>
  <c r="AT226" i="3"/>
  <c r="AG80" i="3"/>
  <c r="AG176" i="3"/>
  <c r="AT34" i="3"/>
  <c r="AG52" i="3"/>
  <c r="AT16" i="3"/>
  <c r="AT182" i="3"/>
  <c r="AT106" i="3"/>
  <c r="AG36" i="3"/>
  <c r="AT52" i="3"/>
  <c r="AT164" i="3"/>
  <c r="AT198" i="3"/>
  <c r="AG132" i="3"/>
  <c r="AT76" i="3"/>
  <c r="AT128" i="3"/>
  <c r="AT212" i="3"/>
  <c r="AG120" i="3"/>
  <c r="AT202" i="3"/>
  <c r="AX4" i="3" l="1"/>
  <c r="AS5" i="3"/>
  <c r="AN4" i="3"/>
  <c r="AF5" i="3"/>
  <c r="AN5" i="3" l="1"/>
  <c r="AJ6" i="3"/>
  <c r="AI6" i="3" s="1"/>
  <c r="AF6" i="3" s="1"/>
  <c r="AX5" i="3"/>
  <c r="AS6" i="3"/>
  <c r="AX6" i="3" l="1"/>
  <c r="AS7" i="3"/>
  <c r="AN6" i="3"/>
  <c r="AF7" i="3"/>
  <c r="AF8" i="3" l="1"/>
  <c r="AN7" i="3"/>
  <c r="AX7" i="3"/>
  <c r="AS8" i="3"/>
  <c r="AX8" i="3" l="1"/>
  <c r="AS9" i="3"/>
  <c r="AN8" i="3"/>
  <c r="AF9" i="3"/>
  <c r="AJ10" i="3" l="1"/>
  <c r="AI10" i="3" s="1"/>
  <c r="AF10" i="3" s="1"/>
  <c r="AN9" i="3"/>
  <c r="AX9" i="3"/>
  <c r="AS10" i="3"/>
  <c r="AN10" i="3" l="1"/>
  <c r="AF11" i="3"/>
  <c r="AX10" i="3"/>
  <c r="AS11" i="3"/>
  <c r="AX11" i="3" l="1"/>
  <c r="AS12" i="3"/>
  <c r="AN11" i="3"/>
  <c r="AF12" i="3"/>
  <c r="AN12" i="3" l="1"/>
  <c r="AF13" i="3"/>
  <c r="AX12" i="3"/>
  <c r="AS13" i="3"/>
  <c r="AX13" i="3" l="1"/>
  <c r="AS14" i="3"/>
  <c r="AJ14" i="3"/>
  <c r="AI14" i="3" s="1"/>
  <c r="AF14" i="3" s="1"/>
  <c r="AN13" i="3"/>
  <c r="AF15" i="3" l="1"/>
  <c r="AN14" i="3"/>
  <c r="AX14" i="3"/>
  <c r="AS15" i="3"/>
  <c r="AX15" i="3" l="1"/>
  <c r="AS16" i="3"/>
  <c r="AN15" i="3"/>
  <c r="AF16" i="3"/>
  <c r="AN16" i="3" l="1"/>
  <c r="AF17" i="3"/>
  <c r="AS17" i="3"/>
  <c r="AX16" i="3"/>
  <c r="AX17" i="3" l="1"/>
  <c r="AS18" i="3"/>
  <c r="AN17" i="3"/>
  <c r="AJ18" i="3"/>
  <c r="AI18" i="3" s="1"/>
  <c r="AF18" i="3" s="1"/>
  <c r="AN18" i="3" l="1"/>
  <c r="AF19" i="3"/>
  <c r="AS19" i="3"/>
  <c r="AX18" i="3"/>
  <c r="AX19" i="3" l="1"/>
  <c r="AS20" i="3"/>
  <c r="AN19" i="3"/>
  <c r="AF20" i="3"/>
  <c r="AX20" i="3" l="1"/>
  <c r="AS21" i="3"/>
  <c r="AN20" i="3"/>
  <c r="AF21" i="3"/>
  <c r="AN21" i="3" l="1"/>
  <c r="AJ22" i="3"/>
  <c r="AI22" i="3" s="1"/>
  <c r="AF22" i="3" s="1"/>
  <c r="AX21" i="3"/>
  <c r="AS22" i="3"/>
  <c r="AN22" i="3" l="1"/>
  <c r="AF23" i="3"/>
  <c r="AS23" i="3"/>
  <c r="AX22" i="3"/>
  <c r="AS24" i="3" l="1"/>
  <c r="AX23" i="3"/>
  <c r="AN23" i="3"/>
  <c r="AF24" i="3"/>
  <c r="AN24" i="3" l="1"/>
  <c r="AF25" i="3"/>
  <c r="AS25" i="3"/>
  <c r="AX24" i="3"/>
  <c r="AX25" i="3" l="1"/>
  <c r="AS26" i="3"/>
  <c r="AN25" i="3"/>
  <c r="AJ26" i="3"/>
  <c r="AI26" i="3" s="1"/>
  <c r="AF26" i="3" s="1"/>
  <c r="AN26" i="3" l="1"/>
  <c r="AF27" i="3"/>
  <c r="AS27" i="3"/>
  <c r="AX26" i="3"/>
  <c r="AS28" i="3" l="1"/>
  <c r="AX27" i="3"/>
  <c r="AN27" i="3"/>
  <c r="AF28" i="3"/>
  <c r="AN28" i="3" l="1"/>
  <c r="AF29" i="3"/>
  <c r="AX28" i="3"/>
  <c r="AS29" i="3"/>
  <c r="AJ30" i="3" l="1"/>
  <c r="AI30" i="3" s="1"/>
  <c r="AF30" i="3" s="1"/>
  <c r="AN29" i="3"/>
  <c r="AX29" i="3"/>
  <c r="AS30" i="3"/>
  <c r="AX30" i="3" l="1"/>
  <c r="AS31" i="3"/>
  <c r="AN30" i="3"/>
  <c r="AF31" i="3"/>
  <c r="AS32" i="3" l="1"/>
  <c r="AX31" i="3"/>
  <c r="AN31" i="3"/>
  <c r="AF32" i="3"/>
  <c r="AF33" i="3" l="1"/>
  <c r="AN32" i="3"/>
  <c r="AX32" i="3"/>
  <c r="AS33" i="3"/>
  <c r="AS34" i="3" l="1"/>
  <c r="AX33" i="3"/>
  <c r="AJ34" i="3"/>
  <c r="AI34" i="3" s="1"/>
  <c r="AF34" i="3" s="1"/>
  <c r="AN33" i="3"/>
  <c r="AN34" i="3" l="1"/>
  <c r="AF35" i="3"/>
  <c r="AX34" i="3"/>
  <c r="AS35" i="3"/>
  <c r="AX35" i="3" l="1"/>
  <c r="AS36" i="3"/>
  <c r="AN35" i="3"/>
  <c r="AF36" i="3"/>
  <c r="AN36" i="3" l="1"/>
  <c r="AF37" i="3"/>
  <c r="AX36" i="3"/>
  <c r="AS37" i="3"/>
  <c r="AX37" i="3" l="1"/>
  <c r="AS38" i="3"/>
  <c r="AN37" i="3"/>
  <c r="AJ38" i="3"/>
  <c r="AI38" i="3" s="1"/>
  <c r="AF38" i="3" s="1"/>
  <c r="AN38" i="3" l="1"/>
  <c r="AF39" i="3"/>
  <c r="AX38" i="3"/>
  <c r="AS39" i="3"/>
  <c r="AN39" i="3" l="1"/>
  <c r="AF40" i="3"/>
  <c r="AX39" i="3"/>
  <c r="AS40" i="3"/>
  <c r="AF41" i="3" l="1"/>
  <c r="AN40" i="3"/>
  <c r="AX40" i="3"/>
  <c r="AS41" i="3"/>
  <c r="AX41" i="3" l="1"/>
  <c r="AS42" i="3"/>
  <c r="AJ42" i="3"/>
  <c r="AI42" i="3" s="1"/>
  <c r="AF42" i="3" s="1"/>
  <c r="AN41" i="3"/>
  <c r="AS43" i="3" l="1"/>
  <c r="AX42" i="3"/>
  <c r="AN42" i="3"/>
  <c r="AF43" i="3"/>
  <c r="AN43" i="3" l="1"/>
  <c r="AF44" i="3"/>
  <c r="AX43" i="3"/>
  <c r="AS44" i="3"/>
  <c r="AN44" i="3" l="1"/>
  <c r="AF45" i="3"/>
  <c r="AX44" i="3"/>
  <c r="AS45" i="3"/>
  <c r="AJ46" i="3" l="1"/>
  <c r="AI46" i="3" s="1"/>
  <c r="AF46" i="3" s="1"/>
  <c r="AN45" i="3"/>
  <c r="AX45" i="3"/>
  <c r="AS46" i="3"/>
  <c r="AX46" i="3" l="1"/>
  <c r="AS47" i="3"/>
  <c r="AF47" i="3"/>
  <c r="AN46" i="3"/>
  <c r="AX47" i="3" l="1"/>
  <c r="AS48" i="3"/>
  <c r="AN47" i="3"/>
  <c r="AF48" i="3"/>
  <c r="AX48" i="3" l="1"/>
  <c r="AS49" i="3"/>
  <c r="AF49" i="3"/>
  <c r="AN48" i="3"/>
  <c r="AN49" i="3" l="1"/>
  <c r="AJ50" i="3"/>
  <c r="AI50" i="3" s="1"/>
  <c r="AF50" i="3" s="1"/>
  <c r="AX49" i="3"/>
  <c r="AS50" i="3"/>
  <c r="AX50" i="3" l="1"/>
  <c r="AS51" i="3"/>
  <c r="AN50" i="3"/>
  <c r="AF51" i="3"/>
  <c r="AN51" i="3" l="1"/>
  <c r="AF52" i="3"/>
  <c r="AS52" i="3"/>
  <c r="AX51" i="3"/>
  <c r="AN52" i="3" l="1"/>
  <c r="AF53" i="3"/>
  <c r="AS53" i="3"/>
  <c r="AX52" i="3"/>
  <c r="AS54" i="3" l="1"/>
  <c r="AX53" i="3"/>
  <c r="AJ54" i="3"/>
  <c r="AI54" i="3" s="1"/>
  <c r="AF54" i="3" s="1"/>
  <c r="AN53" i="3"/>
  <c r="AN54" i="3" l="1"/>
  <c r="AF55" i="3"/>
  <c r="AX54" i="3"/>
  <c r="AS55" i="3"/>
  <c r="AX55" i="3" l="1"/>
  <c r="AS56" i="3"/>
  <c r="AN55" i="3"/>
  <c r="AF56" i="3"/>
  <c r="AX56" i="3" l="1"/>
  <c r="AS57" i="3"/>
  <c r="AN56" i="3"/>
  <c r="AF57" i="3"/>
  <c r="AJ58" i="3" l="1"/>
  <c r="AI58" i="3" s="1"/>
  <c r="AF58" i="3" s="1"/>
  <c r="AN57" i="3"/>
  <c r="AS58" i="3"/>
  <c r="AX57" i="3"/>
  <c r="AX58" i="3" l="1"/>
  <c r="AS59" i="3"/>
  <c r="AF59" i="3"/>
  <c r="AN58" i="3"/>
  <c r="AF60" i="3" l="1"/>
  <c r="AN59" i="3"/>
  <c r="AX59" i="3"/>
  <c r="AS60" i="3"/>
  <c r="AS61" i="3" l="1"/>
  <c r="AX60" i="3"/>
  <c r="AF61" i="3"/>
  <c r="AN60" i="3"/>
  <c r="AN61" i="3" l="1"/>
  <c r="AJ62" i="3"/>
  <c r="AI62" i="3" s="1"/>
  <c r="AF62" i="3" s="1"/>
  <c r="AX61" i="3"/>
  <c r="AS62" i="3"/>
  <c r="AS63" i="3" l="1"/>
  <c r="AX62" i="3"/>
  <c r="AF63" i="3"/>
  <c r="AN62" i="3"/>
  <c r="AN63" i="3" l="1"/>
  <c r="AF64" i="3"/>
  <c r="AX63" i="3"/>
  <c r="AS64" i="3"/>
  <c r="AX64" i="3" l="1"/>
  <c r="AS65" i="3"/>
  <c r="AN64" i="3"/>
  <c r="AF65" i="3"/>
  <c r="AN65" i="3" l="1"/>
  <c r="AJ66" i="3"/>
  <c r="AI66" i="3" s="1"/>
  <c r="AF66" i="3" s="1"/>
  <c r="AX65" i="3"/>
  <c r="AS66" i="3"/>
  <c r="AF67" i="3" l="1"/>
  <c r="AN66" i="3"/>
  <c r="AX66" i="3"/>
  <c r="AS67" i="3"/>
  <c r="AS68" i="3" l="1"/>
  <c r="AX67" i="3"/>
  <c r="AN67" i="3"/>
  <c r="AF68" i="3"/>
  <c r="AF69" i="3" l="1"/>
  <c r="AN68" i="3"/>
  <c r="AX68" i="3"/>
  <c r="AS69" i="3"/>
  <c r="AS70" i="3" l="1"/>
  <c r="AX69" i="3"/>
  <c r="AN69" i="3"/>
  <c r="AJ70" i="3"/>
  <c r="AI70" i="3" s="1"/>
  <c r="AF70" i="3" s="1"/>
  <c r="AF71" i="3" l="1"/>
  <c r="AN70" i="3"/>
  <c r="AX70" i="3"/>
  <c r="AS71" i="3"/>
  <c r="AX71" i="3" l="1"/>
  <c r="AS72" i="3"/>
  <c r="AN71" i="3"/>
  <c r="AF72" i="3"/>
  <c r="AN72" i="3" l="1"/>
  <c r="AF73" i="3"/>
  <c r="AS73" i="3"/>
  <c r="AX72" i="3"/>
  <c r="AS74" i="3" l="1"/>
  <c r="AX73" i="3"/>
  <c r="AJ74" i="3"/>
  <c r="AI74" i="3" s="1"/>
  <c r="AF74" i="3" s="1"/>
  <c r="AN73" i="3"/>
  <c r="AF75" i="3" l="1"/>
  <c r="AN74" i="3"/>
  <c r="AS75" i="3"/>
  <c r="AX74" i="3"/>
  <c r="AS76" i="3" l="1"/>
  <c r="AX75" i="3"/>
  <c r="AF76" i="3"/>
  <c r="AN75" i="3"/>
  <c r="AF77" i="3" l="1"/>
  <c r="AN76" i="3"/>
  <c r="AX76" i="3"/>
  <c r="AS77" i="3"/>
  <c r="AX77" i="3" l="1"/>
  <c r="AS78" i="3"/>
  <c r="AN77" i="3"/>
  <c r="AJ78" i="3"/>
  <c r="AI78" i="3" s="1"/>
  <c r="AF78" i="3" s="1"/>
  <c r="AF79" i="3" l="1"/>
  <c r="AN78" i="3"/>
  <c r="AX78" i="3"/>
  <c r="AS79" i="3"/>
  <c r="AS80" i="3" l="1"/>
  <c r="AX79" i="3"/>
  <c r="AF80" i="3"/>
  <c r="AN79" i="3"/>
  <c r="AF81" i="3" l="1"/>
  <c r="AN80" i="3"/>
  <c r="AX80" i="3"/>
  <c r="AS81" i="3"/>
  <c r="AX81" i="3" l="1"/>
  <c r="AS82" i="3"/>
  <c r="AN81" i="3"/>
  <c r="AJ82" i="3"/>
  <c r="AI82" i="3" s="1"/>
  <c r="AF82" i="3" s="1"/>
  <c r="AN82" i="3" l="1"/>
  <c r="AF83" i="3"/>
  <c r="AX82" i="3"/>
  <c r="AS83" i="3"/>
  <c r="AX83" i="3" l="1"/>
  <c r="AS84" i="3"/>
  <c r="AN83" i="3"/>
  <c r="AF84" i="3"/>
  <c r="AF85" i="3" l="1"/>
  <c r="AN84" i="3"/>
  <c r="AX84" i="3"/>
  <c r="AS85" i="3"/>
  <c r="AX85" i="3" l="1"/>
  <c r="AS86" i="3"/>
  <c r="AJ86" i="3"/>
  <c r="AI86" i="3" s="1"/>
  <c r="AF86" i="3" s="1"/>
  <c r="AN85" i="3"/>
  <c r="AF87" i="3" l="1"/>
  <c r="AN86" i="3"/>
  <c r="AS87" i="3"/>
  <c r="AX86" i="3"/>
  <c r="AX87" i="3" l="1"/>
  <c r="AS88" i="3"/>
  <c r="AF88" i="3"/>
  <c r="AN87" i="3"/>
  <c r="AF89" i="3" l="1"/>
  <c r="AN88" i="3"/>
  <c r="AX88" i="3"/>
  <c r="AS89" i="3"/>
  <c r="AX89" i="3" l="1"/>
  <c r="AS90" i="3"/>
  <c r="AJ90" i="3"/>
  <c r="AI90" i="3" s="1"/>
  <c r="AF90" i="3" s="1"/>
  <c r="AN89" i="3"/>
  <c r="AN90" i="3" l="1"/>
  <c r="AF91" i="3"/>
  <c r="AX90" i="3"/>
  <c r="AS91" i="3"/>
  <c r="AS92" i="3" l="1"/>
  <c r="AX91" i="3"/>
  <c r="AF92" i="3"/>
  <c r="AN91" i="3"/>
  <c r="AF93" i="3" l="1"/>
  <c r="AN92" i="3"/>
  <c r="AS93" i="3"/>
  <c r="AX92" i="3"/>
  <c r="AS94" i="3" l="1"/>
  <c r="AX93" i="3"/>
  <c r="AJ94" i="3"/>
  <c r="AI94" i="3" s="1"/>
  <c r="AF94" i="3" s="1"/>
  <c r="AN93" i="3"/>
  <c r="AF95" i="3" l="1"/>
  <c r="AN94" i="3"/>
  <c r="AX94" i="3"/>
  <c r="AS95" i="3"/>
  <c r="AX95" i="3" l="1"/>
  <c r="AS96" i="3"/>
  <c r="AN95" i="3"/>
  <c r="AF96" i="3"/>
  <c r="AS97" i="3" l="1"/>
  <c r="AX96" i="3"/>
  <c r="AF97" i="3"/>
  <c r="AN96" i="3"/>
  <c r="AJ98" i="3" l="1"/>
  <c r="AI98" i="3" s="1"/>
  <c r="AF98" i="3" s="1"/>
  <c r="AN97" i="3"/>
  <c r="AX97" i="3"/>
  <c r="AS98" i="3"/>
  <c r="AS99" i="3" l="1"/>
  <c r="AX98" i="3"/>
  <c r="AF99" i="3"/>
  <c r="AN98" i="3"/>
  <c r="AF100" i="3" l="1"/>
  <c r="AN99" i="3"/>
  <c r="AX99" i="3"/>
  <c r="AS100" i="3"/>
  <c r="AS101" i="3" l="1"/>
  <c r="AX100" i="3"/>
  <c r="AF101" i="3"/>
  <c r="AN100" i="3"/>
  <c r="AN101" i="3" l="1"/>
  <c r="AJ102" i="3"/>
  <c r="AI102" i="3" s="1"/>
  <c r="AF102" i="3" s="1"/>
  <c r="AX101" i="3"/>
  <c r="AS102" i="3"/>
  <c r="AX102" i="3" l="1"/>
  <c r="AS103" i="3"/>
  <c r="AN102" i="3"/>
  <c r="AF103" i="3"/>
  <c r="AN103" i="3" l="1"/>
  <c r="AF104" i="3"/>
  <c r="AS104" i="3"/>
  <c r="AX103" i="3"/>
  <c r="AS105" i="3" l="1"/>
  <c r="AX104" i="3"/>
  <c r="AN104" i="3"/>
  <c r="AF105" i="3"/>
  <c r="AJ106" i="3" l="1"/>
  <c r="AI106" i="3" s="1"/>
  <c r="AF106" i="3" s="1"/>
  <c r="AN105" i="3"/>
  <c r="AS106" i="3"/>
  <c r="AX105" i="3"/>
  <c r="AS107" i="3" l="1"/>
  <c r="AX106" i="3"/>
  <c r="AN106" i="3"/>
  <c r="AF107" i="3"/>
  <c r="AN107" i="3" l="1"/>
  <c r="AF108" i="3"/>
  <c r="AX107" i="3"/>
  <c r="AS108" i="3"/>
  <c r="AX108" i="3" l="1"/>
  <c r="AS109" i="3"/>
  <c r="AF109" i="3"/>
  <c r="AN108" i="3"/>
  <c r="AJ110" i="3" l="1"/>
  <c r="AI110" i="3" s="1"/>
  <c r="AF110" i="3" s="1"/>
  <c r="AN109" i="3"/>
  <c r="AS110" i="3"/>
  <c r="AX109" i="3"/>
  <c r="AS111" i="3" l="1"/>
  <c r="AX110" i="3"/>
  <c r="AN110" i="3"/>
  <c r="AF111" i="3"/>
  <c r="AN111" i="3" l="1"/>
  <c r="AF112" i="3"/>
  <c r="AS112" i="3"/>
  <c r="AX111" i="3"/>
  <c r="AX112" i="3" l="1"/>
  <c r="AS113" i="3"/>
  <c r="AF113" i="3"/>
  <c r="AN112" i="3"/>
  <c r="AJ114" i="3" l="1"/>
  <c r="AI114" i="3" s="1"/>
  <c r="AF114" i="3" s="1"/>
  <c r="AN113" i="3"/>
  <c r="AS114" i="3"/>
  <c r="AX113" i="3"/>
  <c r="AX114" i="3" l="1"/>
  <c r="AS115" i="3"/>
  <c r="AF115" i="3"/>
  <c r="AN114" i="3"/>
  <c r="AN115" i="3" l="1"/>
  <c r="AF116" i="3"/>
  <c r="AS116" i="3"/>
  <c r="AX115" i="3"/>
  <c r="AX116" i="3" l="1"/>
  <c r="AS117" i="3"/>
  <c r="AF117" i="3"/>
  <c r="AN116" i="3"/>
  <c r="AX117" i="3" l="1"/>
  <c r="AS118" i="3"/>
  <c r="AN117" i="3"/>
  <c r="AJ118" i="3"/>
  <c r="AI118" i="3" s="1"/>
  <c r="AF118" i="3" s="1"/>
  <c r="AN118" i="3" l="1"/>
  <c r="AF119" i="3"/>
  <c r="AS119" i="3"/>
  <c r="AX118" i="3"/>
  <c r="AX119" i="3" l="1"/>
  <c r="AS120" i="3"/>
  <c r="AN119" i="3"/>
  <c r="AF120" i="3"/>
  <c r="AF121" i="3" l="1"/>
  <c r="AN120" i="3"/>
  <c r="AS121" i="3"/>
  <c r="AX120" i="3"/>
  <c r="AX121" i="3" l="1"/>
  <c r="AS122" i="3"/>
  <c r="AN121" i="3"/>
  <c r="AJ122" i="3"/>
  <c r="AI122" i="3" s="1"/>
  <c r="AF122" i="3" s="1"/>
  <c r="AN122" i="3" l="1"/>
  <c r="AF123" i="3"/>
  <c r="AS123" i="3"/>
  <c r="AX122" i="3"/>
  <c r="AS124" i="3" l="1"/>
  <c r="AX123" i="3"/>
  <c r="AF124" i="3"/>
  <c r="AN123" i="3"/>
  <c r="AN124" i="3" l="1"/>
  <c r="AF125" i="3"/>
  <c r="AS125" i="3"/>
  <c r="AX124" i="3"/>
  <c r="AS126" i="3" l="1"/>
  <c r="AX125" i="3"/>
  <c r="AJ126" i="3"/>
  <c r="AI126" i="3" s="1"/>
  <c r="AF126" i="3" s="1"/>
  <c r="AN125" i="3"/>
  <c r="AN126" i="3" l="1"/>
  <c r="AF127" i="3"/>
  <c r="AS127" i="3"/>
  <c r="AX126" i="3"/>
  <c r="AX127" i="3" l="1"/>
  <c r="AS128" i="3"/>
  <c r="AN127" i="3"/>
  <c r="AF128" i="3"/>
  <c r="AN128" i="3" l="1"/>
  <c r="AF129" i="3"/>
  <c r="AS129" i="3"/>
  <c r="AX128" i="3"/>
  <c r="AN129" i="3" l="1"/>
  <c r="AJ130" i="3"/>
  <c r="AI130" i="3" s="1"/>
  <c r="AF130" i="3" s="1"/>
  <c r="AX129" i="3"/>
  <c r="AS130" i="3"/>
  <c r="AS131" i="3" l="1"/>
  <c r="AX130" i="3"/>
  <c r="AN130" i="3"/>
  <c r="AF131" i="3"/>
  <c r="AN131" i="3" l="1"/>
  <c r="AF132" i="3"/>
  <c r="AX131" i="3"/>
  <c r="AS132" i="3"/>
  <c r="AS133" i="3" l="1"/>
  <c r="AX132" i="3"/>
  <c r="AF133" i="3"/>
  <c r="AN132" i="3"/>
  <c r="AN133" i="3" l="1"/>
  <c r="AJ134" i="3"/>
  <c r="AI134" i="3" s="1"/>
  <c r="AF134" i="3" s="1"/>
  <c r="AX133" i="3"/>
  <c r="AS134" i="3"/>
  <c r="AS135" i="3" l="1"/>
  <c r="AX134" i="3"/>
  <c r="AN134" i="3"/>
  <c r="AF135" i="3"/>
  <c r="AN135" i="3" l="1"/>
  <c r="AF136" i="3"/>
  <c r="AS136" i="3"/>
  <c r="AX135" i="3"/>
  <c r="AX136" i="3" l="1"/>
  <c r="AS137" i="3"/>
  <c r="AN136" i="3"/>
  <c r="AF137" i="3"/>
  <c r="AJ138" i="3" l="1"/>
  <c r="AI138" i="3" s="1"/>
  <c r="AF138" i="3" s="1"/>
  <c r="AN137" i="3"/>
  <c r="AS138" i="3"/>
  <c r="AX137" i="3"/>
  <c r="AS139" i="3" l="1"/>
  <c r="AX138" i="3"/>
  <c r="AN138" i="3"/>
  <c r="AF139" i="3"/>
  <c r="AF140" i="3" l="1"/>
  <c r="AN139" i="3"/>
  <c r="AX139" i="3"/>
  <c r="AS140" i="3"/>
  <c r="AS141" i="3" l="1"/>
  <c r="AX140" i="3"/>
  <c r="AF141" i="3"/>
  <c r="AN140" i="3"/>
  <c r="AJ142" i="3" l="1"/>
  <c r="AI142" i="3" s="1"/>
  <c r="AF142" i="3" s="1"/>
  <c r="AN141" i="3"/>
  <c r="AS142" i="3"/>
  <c r="AX141" i="3"/>
  <c r="AX142" i="3" l="1"/>
  <c r="AS143" i="3"/>
  <c r="AN142" i="3"/>
  <c r="AF143" i="3"/>
  <c r="AF144" i="3" l="1"/>
  <c r="AN143" i="3"/>
  <c r="AX143" i="3"/>
  <c r="AS144" i="3"/>
  <c r="AX144" i="3" l="1"/>
  <c r="AS145" i="3"/>
  <c r="AF145" i="3"/>
  <c r="AN144" i="3"/>
  <c r="AN145" i="3" l="1"/>
  <c r="AJ146" i="3"/>
  <c r="AI146" i="3" s="1"/>
  <c r="AF146" i="3" s="1"/>
  <c r="AX145" i="3"/>
  <c r="AS146" i="3"/>
  <c r="AX146" i="3" l="1"/>
  <c r="AS147" i="3"/>
  <c r="AN146" i="3"/>
  <c r="AF147" i="3"/>
  <c r="AF148" i="3" l="1"/>
  <c r="AN147" i="3"/>
  <c r="AS148" i="3"/>
  <c r="AX147" i="3"/>
  <c r="AS149" i="3" l="1"/>
  <c r="AX148" i="3"/>
  <c r="AF149" i="3"/>
  <c r="AN148" i="3"/>
  <c r="AN149" i="3" l="1"/>
  <c r="AJ150" i="3"/>
  <c r="AI150" i="3" s="1"/>
  <c r="AF150" i="3" s="1"/>
  <c r="AX149" i="3"/>
  <c r="AS150" i="3"/>
  <c r="AS151" i="3" l="1"/>
  <c r="AX150" i="3"/>
  <c r="AN150" i="3"/>
  <c r="AF151" i="3"/>
  <c r="AF152" i="3" l="1"/>
  <c r="AN151" i="3"/>
  <c r="AS152" i="3"/>
  <c r="AX151" i="3"/>
  <c r="AX152" i="3" l="1"/>
  <c r="AS153" i="3"/>
  <c r="AF153" i="3"/>
  <c r="AN152" i="3"/>
  <c r="AN153" i="3" l="1"/>
  <c r="AJ154" i="3"/>
  <c r="AI154" i="3" s="1"/>
  <c r="AF154" i="3" s="1"/>
  <c r="AX153" i="3"/>
  <c r="AS154" i="3"/>
  <c r="AS155" i="3" l="1"/>
  <c r="AX154" i="3"/>
  <c r="AF155" i="3"/>
  <c r="AN154" i="3"/>
  <c r="AF156" i="3" l="1"/>
  <c r="AN155" i="3"/>
  <c r="AX155" i="3"/>
  <c r="AS156" i="3"/>
  <c r="AX156" i="3" l="1"/>
  <c r="AS157" i="3"/>
  <c r="AF157" i="3"/>
  <c r="AN156" i="3"/>
  <c r="AN157" i="3" l="1"/>
  <c r="AJ158" i="3"/>
  <c r="AI158" i="3" s="1"/>
  <c r="AF158" i="3" s="1"/>
  <c r="AS158" i="3"/>
  <c r="AX157" i="3"/>
  <c r="AS159" i="3" l="1"/>
  <c r="AX158" i="3"/>
  <c r="AF159" i="3"/>
  <c r="AN158" i="3"/>
  <c r="AF160" i="3" l="1"/>
  <c r="AN159" i="3"/>
  <c r="AX159" i="3"/>
  <c r="AS160" i="3"/>
  <c r="AS161" i="3" l="1"/>
  <c r="AX160" i="3"/>
  <c r="AF161" i="3"/>
  <c r="AN160" i="3"/>
  <c r="AN161" i="3" l="1"/>
  <c r="AJ162" i="3"/>
  <c r="AI162" i="3" s="1"/>
  <c r="AF162" i="3" s="1"/>
  <c r="AX161" i="3"/>
  <c r="AS162" i="3"/>
  <c r="AX162" i="3" l="1"/>
  <c r="AS163" i="3"/>
  <c r="AN162" i="3"/>
  <c r="AF163" i="3"/>
  <c r="AX163" i="3" l="1"/>
  <c r="AS164" i="3"/>
  <c r="AF164" i="3"/>
  <c r="AN163" i="3"/>
  <c r="AF165" i="3" l="1"/>
  <c r="AN164" i="3"/>
  <c r="AX164" i="3"/>
  <c r="AS165" i="3"/>
  <c r="AX165" i="3" l="1"/>
  <c r="AS166" i="3"/>
  <c r="AN165" i="3"/>
  <c r="AJ166" i="3"/>
  <c r="AI166" i="3" s="1"/>
  <c r="AF166" i="3" s="1"/>
  <c r="AS167" i="3" l="1"/>
  <c r="AX166" i="3"/>
  <c r="AF167" i="3"/>
  <c r="AN166" i="3"/>
  <c r="AF168" i="3" l="1"/>
  <c r="AN167" i="3"/>
  <c r="AX167" i="3"/>
  <c r="AS168" i="3"/>
  <c r="AX168" i="3" l="1"/>
  <c r="AS169" i="3"/>
  <c r="AF169" i="3"/>
  <c r="AN168" i="3"/>
  <c r="AJ170" i="3" l="1"/>
  <c r="AI170" i="3" s="1"/>
  <c r="AF170" i="3" s="1"/>
  <c r="AN169" i="3"/>
  <c r="AS170" i="3"/>
  <c r="AX169" i="3"/>
  <c r="AX170" i="3" l="1"/>
  <c r="AS171" i="3"/>
  <c r="AN170" i="3"/>
  <c r="AF171" i="3"/>
  <c r="AF172" i="3" l="1"/>
  <c r="AN171" i="3"/>
  <c r="AX171" i="3"/>
  <c r="AS172" i="3"/>
  <c r="AX172" i="3" l="1"/>
  <c r="AS173" i="3"/>
  <c r="AF173" i="3"/>
  <c r="AN172" i="3"/>
  <c r="AJ174" i="3" l="1"/>
  <c r="AI174" i="3" s="1"/>
  <c r="AF174" i="3" s="1"/>
  <c r="AN173" i="3"/>
  <c r="AS174" i="3"/>
  <c r="AX173" i="3"/>
  <c r="AX174" i="3" l="1"/>
  <c r="AS175" i="3"/>
  <c r="AN174" i="3"/>
  <c r="AF175" i="3"/>
  <c r="AF176" i="3" l="1"/>
  <c r="AN175" i="3"/>
  <c r="AX175" i="3"/>
  <c r="AS176" i="3"/>
  <c r="AS177" i="3" l="1"/>
  <c r="AX176" i="3"/>
  <c r="AF177" i="3"/>
  <c r="AN176" i="3"/>
  <c r="AJ178" i="3" l="1"/>
  <c r="AI178" i="3" s="1"/>
  <c r="AF178" i="3" s="1"/>
  <c r="AN177" i="3"/>
  <c r="AS178" i="3"/>
  <c r="AX177" i="3"/>
  <c r="AS179" i="3" l="1"/>
  <c r="AX178" i="3"/>
  <c r="AN178" i="3"/>
  <c r="AF179" i="3"/>
  <c r="AF180" i="3" l="1"/>
  <c r="AN179" i="3"/>
  <c r="AX179" i="3"/>
  <c r="AS180" i="3"/>
  <c r="AX180" i="3" l="1"/>
  <c r="AS181" i="3"/>
  <c r="AF181" i="3"/>
  <c r="AN180" i="3"/>
  <c r="AJ182" i="3" l="1"/>
  <c r="AI182" i="3" s="1"/>
  <c r="AF182" i="3" s="1"/>
  <c r="AN181" i="3"/>
  <c r="AS182" i="3"/>
  <c r="AX181" i="3"/>
  <c r="AX182" i="3" l="1"/>
  <c r="AS183" i="3"/>
  <c r="AN182" i="3"/>
  <c r="AF183" i="3"/>
  <c r="AN183" i="3" l="1"/>
  <c r="AF184" i="3"/>
  <c r="AS184" i="3"/>
  <c r="AX183" i="3"/>
  <c r="AS185" i="3" l="1"/>
  <c r="AX184" i="3"/>
  <c r="AF185" i="3"/>
  <c r="AN184" i="3"/>
  <c r="AJ186" i="3" l="1"/>
  <c r="AI186" i="3" s="1"/>
  <c r="AF186" i="3" s="1"/>
  <c r="AN185" i="3"/>
  <c r="AS186" i="3"/>
  <c r="AX185" i="3"/>
  <c r="AS187" i="3" l="1"/>
  <c r="AX186" i="3"/>
  <c r="AN186" i="3"/>
  <c r="AF187" i="3"/>
  <c r="AN187" i="3" l="1"/>
  <c r="AF188" i="3"/>
  <c r="AS188" i="3"/>
  <c r="AX187" i="3"/>
  <c r="AS189" i="3" l="1"/>
  <c r="AX188" i="3"/>
  <c r="AF189" i="3"/>
  <c r="AN188" i="3"/>
  <c r="AN189" i="3" l="1"/>
  <c r="AJ190" i="3"/>
  <c r="AI190" i="3" s="1"/>
  <c r="AF190" i="3" s="1"/>
  <c r="AX189" i="3"/>
  <c r="AS190" i="3"/>
  <c r="AN190" i="3" l="1"/>
  <c r="AF191" i="3"/>
  <c r="AS191" i="3"/>
  <c r="AX190" i="3"/>
  <c r="AN191" i="3" l="1"/>
  <c r="AF192" i="3"/>
  <c r="AX191" i="3"/>
  <c r="AS192" i="3"/>
  <c r="AS193" i="3" l="1"/>
  <c r="AX192" i="3"/>
  <c r="AF193" i="3"/>
  <c r="AN192" i="3"/>
  <c r="AJ194" i="3" l="1"/>
  <c r="AI194" i="3" s="1"/>
  <c r="AF194" i="3" s="1"/>
  <c r="AN193" i="3"/>
  <c r="AS194" i="3"/>
  <c r="AX193" i="3"/>
  <c r="AX194" i="3" l="1"/>
  <c r="AS195" i="3"/>
  <c r="AF195" i="3"/>
  <c r="AN194" i="3"/>
  <c r="AN195" i="3" l="1"/>
  <c r="AF196" i="3"/>
  <c r="AX195" i="3"/>
  <c r="AS196" i="3"/>
  <c r="AS197" i="3" l="1"/>
  <c r="AX196" i="3"/>
  <c r="AN196" i="3"/>
  <c r="AF197" i="3"/>
  <c r="AN197" i="3" l="1"/>
  <c r="AJ198" i="3"/>
  <c r="AI198" i="3" s="1"/>
  <c r="AF198" i="3" s="1"/>
  <c r="AX197" i="3"/>
  <c r="AS198" i="3"/>
  <c r="AX198" i="3" l="1"/>
  <c r="AS199" i="3"/>
  <c r="AN198" i="3"/>
  <c r="AF199" i="3"/>
  <c r="AN199" i="3" l="1"/>
  <c r="AF200" i="3"/>
  <c r="AS200" i="3"/>
  <c r="AX199" i="3"/>
  <c r="AF201" i="3" l="1"/>
  <c r="AN200" i="3"/>
  <c r="AS201" i="3"/>
  <c r="AX200" i="3"/>
  <c r="AS202" i="3" l="1"/>
  <c r="AX201" i="3"/>
  <c r="AN201" i="3"/>
  <c r="AJ202" i="3"/>
  <c r="AI202" i="3" s="1"/>
  <c r="AF202" i="3" s="1"/>
  <c r="AF203" i="3" l="1"/>
  <c r="AN202" i="3"/>
  <c r="AX202" i="3"/>
  <c r="AS203" i="3"/>
  <c r="AX203" i="3" l="1"/>
  <c r="AS204" i="3"/>
  <c r="AN203" i="3"/>
  <c r="AF204" i="3"/>
  <c r="AX204" i="3" l="1"/>
  <c r="AS205" i="3"/>
  <c r="AF205" i="3"/>
  <c r="AN204" i="3"/>
  <c r="AJ206" i="3" l="1"/>
  <c r="AI206" i="3" s="1"/>
  <c r="AF206" i="3" s="1"/>
  <c r="AN205" i="3"/>
  <c r="AX205" i="3"/>
  <c r="AS206" i="3"/>
  <c r="AX206" i="3" l="1"/>
  <c r="AS207" i="3"/>
  <c r="AN206" i="3"/>
  <c r="AF207" i="3"/>
  <c r="AN207" i="3" l="1"/>
  <c r="AF208" i="3"/>
  <c r="AS208" i="3"/>
  <c r="AX207" i="3"/>
  <c r="AN208" i="3" l="1"/>
  <c r="AF209" i="3"/>
  <c r="AS209" i="3"/>
  <c r="AX208" i="3"/>
  <c r="AS210" i="3" l="1"/>
  <c r="AX209" i="3"/>
  <c r="AJ210" i="3"/>
  <c r="AI210" i="3" s="1"/>
  <c r="AF210" i="3" s="1"/>
  <c r="AN209" i="3"/>
  <c r="AN210" i="3" l="1"/>
  <c r="AF211" i="3"/>
  <c r="AX210" i="3"/>
  <c r="AS211" i="3"/>
  <c r="AN211" i="3" l="1"/>
  <c r="AF212" i="3"/>
  <c r="AX211" i="3"/>
  <c r="AS212" i="3"/>
  <c r="AX212" i="3" l="1"/>
  <c r="AS213" i="3"/>
  <c r="AN212" i="3"/>
  <c r="AF213" i="3"/>
  <c r="AJ214" i="3" l="1"/>
  <c r="AI214" i="3" s="1"/>
  <c r="AF214" i="3" s="1"/>
  <c r="AN213" i="3"/>
  <c r="AS214" i="3"/>
  <c r="AX213" i="3"/>
  <c r="AX214" i="3" l="1"/>
  <c r="AS215" i="3"/>
  <c r="AF215" i="3"/>
  <c r="AN214" i="3"/>
  <c r="AN215" i="3" l="1"/>
  <c r="AF216" i="3"/>
  <c r="AX215" i="3"/>
  <c r="AS216" i="3"/>
  <c r="AX216" i="3" l="1"/>
  <c r="AS217" i="3"/>
  <c r="AN216" i="3"/>
  <c r="AF217" i="3"/>
  <c r="AN217" i="3" l="1"/>
  <c r="AJ218" i="3"/>
  <c r="AI218" i="3" s="1"/>
  <c r="AF218" i="3" s="1"/>
  <c r="AS218" i="3"/>
  <c r="AX217" i="3"/>
  <c r="AX218" i="3" l="1"/>
  <c r="AS219" i="3"/>
  <c r="AF219" i="3"/>
  <c r="AN218" i="3"/>
  <c r="AN219" i="3" l="1"/>
  <c r="AF220" i="3"/>
  <c r="AX219" i="3"/>
  <c r="AS220" i="3"/>
  <c r="AX220" i="3" l="1"/>
  <c r="AS221" i="3"/>
  <c r="AF221" i="3"/>
  <c r="AN220" i="3"/>
  <c r="AN221" i="3" l="1"/>
  <c r="AJ222" i="3"/>
  <c r="AI222" i="3" s="1"/>
  <c r="AF222" i="3" s="1"/>
  <c r="AX221" i="3"/>
  <c r="AS222" i="3"/>
  <c r="AS223" i="3" l="1"/>
  <c r="AX222" i="3"/>
  <c r="AF223" i="3"/>
  <c r="AN222" i="3"/>
  <c r="AN223" i="3" l="1"/>
  <c r="AF224" i="3"/>
  <c r="AX223" i="3"/>
  <c r="AS224" i="3"/>
  <c r="AX224" i="3" l="1"/>
  <c r="AS225" i="3"/>
  <c r="AF225" i="3"/>
  <c r="AN224" i="3"/>
  <c r="AS226" i="3" l="1"/>
  <c r="AX225" i="3"/>
  <c r="AN225" i="3"/>
  <c r="AJ226" i="3"/>
  <c r="AI226" i="3" s="1"/>
  <c r="AF226" i="3" s="1"/>
  <c r="AN226" i="3" l="1"/>
  <c r="J3" i="2" s="1"/>
  <c r="J4" i="2" s="1"/>
  <c r="J6" i="2" s="1"/>
  <c r="AF227" i="3"/>
  <c r="AN227" i="3" s="1"/>
  <c r="AX226" i="3"/>
  <c r="AS227" i="3"/>
  <c r="AX227" i="3" s="1"/>
</calcChain>
</file>

<file path=xl/sharedStrings.xml><?xml version="1.0" encoding="utf-8"?>
<sst xmlns="http://schemas.openxmlformats.org/spreadsheetml/2006/main" count="110" uniqueCount="84">
  <si>
    <t>g/m2</t>
  </si>
  <si>
    <t>m</t>
  </si>
  <si>
    <t>Kg/min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</si>
  <si>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</si>
  <si>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</si>
  <si>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</si>
  <si>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</si>
  <si>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</si>
  <si>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</si>
  <si>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</si>
  <si>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</si>
  <si>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</si>
  <si>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</si>
  <si>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</si>
  <si>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FRANT</t>
  </si>
  <si>
    <t>CATEN</t>
  </si>
  <si>
    <t>UMIDI</t>
  </si>
  <si>
    <t>Kg/min necessari</t>
  </si>
  <si>
    <t>A</t>
  </si>
  <si>
    <t>Assorbimento 1 FRANT</t>
  </si>
  <si>
    <t>Assorbimento 1 UMIDI</t>
  </si>
  <si>
    <t>m3</t>
  </si>
  <si>
    <t>min</t>
  </si>
  <si>
    <t>Kg</t>
  </si>
  <si>
    <t>Tempo di svuotamento</t>
  </si>
  <si>
    <t>As.Tot</t>
  </si>
  <si>
    <t>Assorbimenti istantanei 1 - PH</t>
  </si>
  <si>
    <t>Assorbimento totale</t>
  </si>
  <si>
    <t>Assorbimenti istantanei Disco - PH</t>
  </si>
  <si>
    <t>Assorbimento DISCO</t>
  </si>
  <si>
    <t>Teorico</t>
  </si>
  <si>
    <t>X ricerca</t>
  </si>
  <si>
    <t>Capacità tramoggia</t>
  </si>
  <si>
    <t>Tempo di ric, min</t>
  </si>
  <si>
    <t>Log ricarica T 0 Gradi</t>
  </si>
  <si>
    <t>Capacità Ah</t>
  </si>
  <si>
    <t>Scarica Ah</t>
  </si>
  <si>
    <t>Min</t>
  </si>
  <si>
    <t>X calcolo</t>
  </si>
  <si>
    <t>X calcolo2</t>
  </si>
  <si>
    <t>Pausa 1</t>
  </si>
  <si>
    <t>Ricarica</t>
  </si>
  <si>
    <t>Pausa 2</t>
  </si>
  <si>
    <t>Durata biberonaggio</t>
  </si>
  <si>
    <t>h</t>
  </si>
  <si>
    <t>From 4 to 9</t>
  </si>
  <si>
    <t>Value</t>
  </si>
  <si>
    <t>Litio 1 batteria</t>
  </si>
  <si>
    <t>Assorbimenti istantanei 1 - PA</t>
  </si>
  <si>
    <t>COCLEA</t>
  </si>
  <si>
    <t>Ah</t>
  </si>
  <si>
    <t>Riserva</t>
  </si>
  <si>
    <t>km</t>
  </si>
  <si>
    <t>no</t>
  </si>
  <si>
    <t>Assorbimento 1 trasportatore</t>
  </si>
  <si>
    <t>%</t>
  </si>
  <si>
    <t>n</t>
  </si>
  <si>
    <t>km/h</t>
  </si>
  <si>
    <t>1/2</t>
  </si>
  <si>
    <t>Range</t>
  </si>
  <si>
    <t>UdM</t>
  </si>
  <si>
    <t>Dosage</t>
  </si>
  <si>
    <t>Width</t>
  </si>
  <si>
    <t>Speed</t>
  </si>
  <si>
    <t>Pre-wetting</t>
  </si>
  <si>
    <t>Spreader type</t>
  </si>
  <si>
    <t>Hopper volume</t>
  </si>
  <si>
    <t>Batt type</t>
  </si>
  <si>
    <t>Charge time</t>
  </si>
  <si>
    <t>Pause time</t>
  </si>
  <si>
    <t>Autonomy</t>
  </si>
  <si>
    <t>Cycle coverage</t>
  </si>
  <si>
    <t>Total coverage</t>
  </si>
  <si>
    <t>Complete cycle N</t>
  </si>
  <si>
    <t>From 20 to 50</t>
  </si>
  <si>
    <t>From 2 to 12</t>
  </si>
  <si>
    <t>From 10 to 40</t>
  </si>
  <si>
    <t>PH  or  PA</t>
  </si>
  <si>
    <t>Lithium</t>
  </si>
  <si>
    <t>No</t>
  </si>
  <si>
    <r>
      <t>Note: 
minimum charging time 5 minutes
PA max capacity 7 m</t>
    </r>
    <r>
      <rPr>
        <vertAlign val="superscript"/>
        <sz val="12"/>
        <color theme="1"/>
        <rFont val="Arial"/>
        <family val="2"/>
      </rPr>
      <t xml:space="preserve">3
</t>
    </r>
  </si>
  <si>
    <t>Solido</t>
  </si>
  <si>
    <t>Liquido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</si>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</sst>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26"/>
      <color theme="1"/>
      <name val="Arial"/>
      <family val="2"/>
    </font>
    <font>
      <u/>
      <sz val="11"/>
      <color theme="10"/>
      <name val="Arial"/>
      <family val="2"/>
    </font>
    <font>
      <strike/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Arial"/>
      <family val="2"/>
    </font>
    <font>
      <vertAlign val="superscript"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theme="6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6" tint="0.39997558519241921"/>
      </bottom>
      <diagonal/>
    </border>
    <border>
      <left style="medium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theme="6" tint="0.3999755851924192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10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0" fillId="0" borderId="0" xfId="2"/>
    <xf numFmtId="0" fontId="0" fillId="0" borderId="0" xfId="0" applyAlignment="1">
      <alignment horizontal="center" vertical="center"/>
    </xf>
    <xf numFmtId="0" fontId="2" fillId="0" borderId="0" xfId="1" applyAlignment="1" applyProtection="1">
      <alignment horizontal="left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3" fillId="0" borderId="20" xfId="1" applyFont="1" applyBorder="1" applyAlignment="1" applyProtection="1">
      <alignment horizontal="center" vertical="center"/>
      <protection hidden="1"/>
    </xf>
    <xf numFmtId="0" fontId="0" fillId="0" borderId="20" xfId="0" applyBorder="1" applyProtection="1">
      <protection hidden="1"/>
    </xf>
    <xf numFmtId="0" fontId="0" fillId="0" borderId="19" xfId="0" applyBorder="1" applyProtection="1">
      <protection hidden="1"/>
    </xf>
    <xf numFmtId="2" fontId="0" fillId="0" borderId="20" xfId="0" applyNumberFormat="1" applyBorder="1" applyProtection="1">
      <protection hidden="1"/>
    </xf>
    <xf numFmtId="164" fontId="0" fillId="0" borderId="20" xfId="0" applyNumberFormat="1" applyBorder="1" applyProtection="1">
      <protection hidden="1"/>
    </xf>
    <xf numFmtId="164" fontId="0" fillId="0" borderId="20" xfId="0" applyNumberFormat="1" applyFill="1" applyBorder="1" applyProtection="1">
      <protection hidden="1"/>
    </xf>
    <xf numFmtId="1" fontId="3" fillId="0" borderId="20" xfId="1" applyNumberFormat="1" applyFont="1" applyBorder="1" applyAlignment="1" applyProtection="1">
      <alignment horizontal="center" vertical="center"/>
      <protection hidden="1"/>
    </xf>
    <xf numFmtId="0" fontId="2" fillId="0" borderId="20" xfId="1" applyBorder="1" applyAlignment="1" applyProtection="1">
      <alignment horizontal="center" vertical="center"/>
      <protection hidden="1"/>
    </xf>
    <xf numFmtId="0" fontId="2" fillId="0" borderId="21" xfId="1" applyBorder="1" applyAlignment="1" applyProtection="1">
      <alignment horizontal="center" vertical="center"/>
      <protection hidden="1"/>
    </xf>
    <xf numFmtId="1" fontId="2" fillId="0" borderId="0" xfId="1" applyNumberFormat="1" applyBorder="1" applyAlignment="1" applyProtection="1">
      <alignment horizontal="right" vertical="center"/>
      <protection hidden="1"/>
    </xf>
    <xf numFmtId="0" fontId="2" fillId="0" borderId="19" xfId="1" applyBorder="1" applyAlignment="1" applyProtection="1">
      <alignment horizontal="center" vertical="center"/>
      <protection hidden="1"/>
    </xf>
    <xf numFmtId="1" fontId="2" fillId="0" borderId="20" xfId="1" applyNumberFormat="1" applyBorder="1" applyAlignment="1" applyProtection="1">
      <alignment horizontal="center" vertical="center"/>
      <protection hidden="1"/>
    </xf>
    <xf numFmtId="0" fontId="2" fillId="0" borderId="0" xfId="1" applyBorder="1" applyAlignment="1" applyProtection="1">
      <alignment horizontal="center" vertical="center"/>
      <protection hidden="1"/>
    </xf>
    <xf numFmtId="164" fontId="3" fillId="0" borderId="0" xfId="1" applyNumberFormat="1" applyFont="1" applyBorder="1" applyAlignment="1" applyProtection="1">
      <alignment horizontal="center" vertical="center"/>
      <protection hidden="1"/>
    </xf>
    <xf numFmtId="164" fontId="2" fillId="0" borderId="0" xfId="1" applyNumberFormat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1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" fontId="3" fillId="0" borderId="11" xfId="1" applyNumberFormat="1" applyFont="1" applyBorder="1" applyAlignment="1" applyProtection="1">
      <alignment horizontal="center" vertical="center"/>
      <protection hidden="1"/>
    </xf>
    <xf numFmtId="2" fontId="5" fillId="0" borderId="0" xfId="0" applyNumberFormat="1" applyFont="1" applyBorder="1" applyProtection="1">
      <protection hidden="1"/>
    </xf>
    <xf numFmtId="164" fontId="2" fillId="0" borderId="0" xfId="1" applyNumberFormat="1" applyBorder="1" applyAlignment="1" applyProtection="1">
      <alignment horizontal="center" vertical="center"/>
      <protection hidden="1"/>
    </xf>
    <xf numFmtId="1" fontId="2" fillId="0" borderId="0" xfId="1" applyNumberFormat="1" applyBorder="1" applyAlignment="1" applyProtection="1">
      <alignment horizontal="center" vertical="center"/>
      <protection hidden="1"/>
    </xf>
    <xf numFmtId="164" fontId="2" fillId="0" borderId="0" xfId="1" applyNumberFormat="1" applyFill="1" applyBorder="1" applyAlignment="1" applyProtection="1">
      <alignment horizontal="center" vertical="center"/>
      <protection hidden="1"/>
    </xf>
    <xf numFmtId="164" fontId="2" fillId="0" borderId="12" xfId="1" applyNumberFormat="1" applyBorder="1" applyAlignment="1" applyProtection="1">
      <alignment horizontal="center" vertical="center"/>
      <protection hidden="1"/>
    </xf>
    <xf numFmtId="1" fontId="8" fillId="9" borderId="11" xfId="1" applyNumberFormat="1" applyFont="1" applyFill="1" applyBorder="1" applyAlignment="1" applyProtection="1">
      <alignment horizontal="center" vertical="center"/>
      <protection hidden="1"/>
    </xf>
    <xf numFmtId="2" fontId="7" fillId="9" borderId="0" xfId="0" applyNumberFormat="1" applyFont="1" applyFill="1" applyBorder="1" applyProtection="1">
      <protection hidden="1"/>
    </xf>
    <xf numFmtId="164" fontId="8" fillId="9" borderId="0" xfId="1" applyNumberFormat="1" applyFont="1" applyFill="1" applyBorder="1" applyAlignment="1" applyProtection="1">
      <alignment horizontal="center" vertical="center"/>
      <protection hidden="1"/>
    </xf>
    <xf numFmtId="1" fontId="8" fillId="9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12" xfId="1" applyBorder="1" applyAlignment="1" applyProtection="1">
      <alignment horizontal="center" vertical="center"/>
      <protection hidden="1"/>
    </xf>
    <xf numFmtId="1" fontId="2" fillId="0" borderId="0" xfId="1" applyNumberFormat="1" applyAlignment="1" applyProtection="1">
      <alignment horizontal="center" vertical="center"/>
      <protection hidden="1"/>
    </xf>
    <xf numFmtId="0" fontId="2" fillId="2" borderId="0" xfId="1" applyFill="1" applyBorder="1" applyAlignment="1" applyProtection="1">
      <alignment horizontal="center" vertical="center"/>
      <protection hidden="1"/>
    </xf>
    <xf numFmtId="164" fontId="2" fillId="3" borderId="0" xfId="1" applyNumberFormat="1" applyFill="1" applyBorder="1" applyAlignment="1" applyProtection="1">
      <alignment horizontal="center" vertical="center"/>
      <protection hidden="1"/>
    </xf>
    <xf numFmtId="164" fontId="2" fillId="3" borderId="0" xfId="1" applyNumberFormat="1" applyFill="1" applyAlignment="1" applyProtection="1">
      <alignment horizontal="center" vertical="center"/>
      <protection hidden="1"/>
    </xf>
    <xf numFmtId="1" fontId="6" fillId="0" borderId="0" xfId="0" applyNumberFormat="1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/>
      <protection hidden="1"/>
    </xf>
    <xf numFmtId="2" fontId="0" fillId="0" borderId="0" xfId="1" applyNumberFormat="1" applyFont="1" applyBorder="1" applyAlignment="1" applyProtection="1">
      <alignment horizontal="center" vertical="center"/>
      <protection hidden="1"/>
    </xf>
    <xf numFmtId="164" fontId="0" fillId="0" borderId="0" xfId="1" applyNumberFormat="1" applyFont="1" applyBorder="1" applyAlignment="1" applyProtection="1">
      <alignment horizontal="center" vertical="center"/>
      <protection hidden="1"/>
    </xf>
    <xf numFmtId="1" fontId="0" fillId="0" borderId="0" xfId="1" applyNumberFormat="1" applyFont="1" applyBorder="1" applyAlignment="1" applyProtection="1">
      <alignment horizontal="center" vertical="center"/>
      <protection hidden="1"/>
    </xf>
    <xf numFmtId="164" fontId="0" fillId="0" borderId="0" xfId="1" applyNumberFormat="1" applyFont="1" applyFill="1" applyBorder="1" applyAlignment="1" applyProtection="1">
      <alignment horizontal="center" vertical="center"/>
      <protection hidden="1"/>
    </xf>
    <xf numFmtId="164" fontId="6" fillId="0" borderId="0" xfId="1" applyNumberFormat="1" applyFont="1" applyFill="1" applyBorder="1" applyAlignment="1" applyProtection="1">
      <alignment horizontal="center" vertical="center"/>
      <protection hidden="1"/>
    </xf>
    <xf numFmtId="164" fontId="6" fillId="0" borderId="12" xfId="1" applyNumberFormat="1" applyFont="1" applyFill="1" applyBorder="1" applyAlignment="1" applyProtection="1">
      <alignment horizontal="center" vertical="center"/>
      <protection hidden="1"/>
    </xf>
    <xf numFmtId="1" fontId="0" fillId="0" borderId="0" xfId="1" applyNumberFormat="1" applyFont="1" applyFill="1" applyBorder="1" applyAlignment="1" applyProtection="1">
      <alignment horizontal="right" vertical="center"/>
      <protection hidden="1"/>
    </xf>
    <xf numFmtId="1" fontId="0" fillId="7" borderId="11" xfId="0" applyNumberFormat="1" applyFont="1" applyFill="1" applyBorder="1" applyAlignment="1" applyProtection="1">
      <alignment horizontal="center" vertical="center"/>
      <protection hidden="1"/>
    </xf>
    <xf numFmtId="2" fontId="0" fillId="10" borderId="0" xfId="1" applyNumberFormat="1" applyFont="1" applyFill="1" applyBorder="1" applyAlignment="1" applyProtection="1">
      <alignment horizontal="center" vertical="center"/>
      <protection hidden="1"/>
    </xf>
    <xf numFmtId="164" fontId="0" fillId="10" borderId="0" xfId="1" applyNumberFormat="1" applyFont="1" applyFill="1" applyBorder="1" applyAlignment="1" applyProtection="1">
      <alignment horizontal="center" vertical="center"/>
      <protection hidden="1"/>
    </xf>
    <xf numFmtId="1" fontId="0" fillId="10" borderId="0" xfId="1" applyNumberFormat="1" applyFont="1" applyFill="1" applyBorder="1" applyAlignment="1" applyProtection="1">
      <alignment horizontal="center" vertical="center"/>
      <protection hidden="1"/>
    </xf>
    <xf numFmtId="1" fontId="0" fillId="0" borderId="25" xfId="0" applyNumberFormat="1" applyFont="1" applyFill="1" applyBorder="1" applyAlignment="1" applyProtection="1">
      <alignment horizontal="center" vertical="center"/>
      <protection hidden="1"/>
    </xf>
    <xf numFmtId="2" fontId="0" fillId="6" borderId="13" xfId="1" applyNumberFormat="1" applyFont="1" applyFill="1" applyBorder="1" applyAlignment="1" applyProtection="1">
      <alignment horizontal="center" vertical="center"/>
      <protection hidden="1"/>
    </xf>
    <xf numFmtId="164" fontId="0" fillId="0" borderId="13" xfId="1" applyNumberFormat="1" applyFont="1" applyBorder="1" applyAlignment="1" applyProtection="1">
      <alignment horizontal="center" vertical="center"/>
      <protection hidden="1"/>
    </xf>
    <xf numFmtId="1" fontId="0" fillId="0" borderId="13" xfId="1" applyNumberFormat="1" applyFont="1" applyBorder="1" applyAlignment="1" applyProtection="1">
      <alignment horizontal="center" vertical="center"/>
      <protection hidden="1"/>
    </xf>
    <xf numFmtId="164" fontId="0" fillId="0" borderId="13" xfId="1" applyNumberFormat="1" applyFont="1" applyFill="1" applyBorder="1" applyAlignment="1" applyProtection="1">
      <alignment horizontal="center" vertical="center"/>
      <protection hidden="1"/>
    </xf>
    <xf numFmtId="1" fontId="0" fillId="0" borderId="14" xfId="1" applyNumberFormat="1" applyFont="1" applyBorder="1" applyAlignment="1" applyProtection="1">
      <alignment horizontal="center" vertical="center"/>
      <protection hidden="1"/>
    </xf>
    <xf numFmtId="1" fontId="0" fillId="0" borderId="11" xfId="0" applyNumberFormat="1" applyFont="1" applyFill="1" applyBorder="1" applyAlignment="1" applyProtection="1">
      <alignment horizontal="center" vertical="center"/>
      <protection hidden="1"/>
    </xf>
    <xf numFmtId="2" fontId="0" fillId="6" borderId="0" xfId="1" applyNumberFormat="1" applyFont="1" applyFill="1" applyBorder="1" applyAlignment="1" applyProtection="1">
      <alignment horizontal="center" vertical="center"/>
      <protection hidden="1"/>
    </xf>
    <xf numFmtId="1" fontId="0" fillId="0" borderId="11" xfId="1" applyNumberFormat="1" applyFont="1" applyFill="1" applyBorder="1" applyAlignment="1" applyProtection="1">
      <alignment horizontal="center" vertical="center"/>
      <protection hidden="1"/>
    </xf>
    <xf numFmtId="2" fontId="0" fillId="0" borderId="0" xfId="1" applyNumberFormat="1" applyFont="1" applyFill="1" applyBorder="1" applyAlignment="1" applyProtection="1">
      <alignment horizontal="center" vertical="center"/>
      <protection hidden="1"/>
    </xf>
    <xf numFmtId="164" fontId="0" fillId="8" borderId="16" xfId="1" applyNumberFormat="1" applyFont="1" applyFill="1" applyBorder="1" applyAlignment="1" applyProtection="1">
      <alignment horizontal="center" vertical="center"/>
      <protection hidden="1"/>
    </xf>
    <xf numFmtId="1" fontId="0" fillId="0" borderId="0" xfId="1" applyNumberFormat="1" applyFont="1" applyFill="1" applyBorder="1" applyAlignment="1" applyProtection="1">
      <alignment horizontal="center" vertical="center"/>
      <protection hidden="1"/>
    </xf>
    <xf numFmtId="164" fontId="0" fillId="0" borderId="15" xfId="1" applyNumberFormat="1" applyFont="1" applyFill="1" applyBorder="1" applyAlignment="1" applyProtection="1">
      <alignment horizontal="center" vertical="center"/>
      <protection hidden="1"/>
    </xf>
    <xf numFmtId="1" fontId="0" fillId="10" borderId="11" xfId="1" applyNumberFormat="1" applyFont="1" applyFill="1" applyBorder="1" applyAlignment="1" applyProtection="1">
      <alignment horizontal="center" vertical="center"/>
      <protection hidden="1"/>
    </xf>
    <xf numFmtId="164" fontId="0" fillId="8" borderId="0" xfId="1" applyNumberFormat="1" applyFont="1" applyFill="1" applyBorder="1" applyAlignment="1" applyProtection="1">
      <alignment horizontal="center" vertical="center"/>
      <protection hidden="1"/>
    </xf>
    <xf numFmtId="1" fontId="0" fillId="2" borderId="0" xfId="1" applyNumberFormat="1" applyFont="1" applyFill="1" applyBorder="1" applyAlignment="1" applyProtection="1">
      <alignment horizontal="center" vertical="center"/>
      <protection hidden="1"/>
    </xf>
    <xf numFmtId="1" fontId="0" fillId="0" borderId="15" xfId="1" applyNumberFormat="1" applyFont="1" applyBorder="1" applyAlignment="1" applyProtection="1">
      <alignment horizontal="center" vertical="center"/>
      <protection hidden="1"/>
    </xf>
    <xf numFmtId="1" fontId="0" fillId="0" borderId="26" xfId="0" applyNumberFormat="1" applyFont="1" applyFill="1" applyBorder="1" applyAlignment="1" applyProtection="1">
      <alignment horizontal="center" vertical="center"/>
      <protection hidden="1"/>
    </xf>
    <xf numFmtId="2" fontId="0" fillId="0" borderId="16" xfId="1" applyNumberFormat="1" applyFont="1" applyFill="1" applyBorder="1" applyAlignment="1" applyProtection="1">
      <alignment horizontal="center" vertical="center"/>
      <protection hidden="1"/>
    </xf>
    <xf numFmtId="164" fontId="0" fillId="0" borderId="16" xfId="1" applyNumberFormat="1" applyFont="1" applyFill="1" applyBorder="1" applyAlignment="1" applyProtection="1">
      <alignment horizontal="center" vertical="center"/>
      <protection hidden="1"/>
    </xf>
    <xf numFmtId="1" fontId="0" fillId="0" borderId="16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horizontal="center" vertical="top"/>
      <protection hidden="1"/>
    </xf>
    <xf numFmtId="1" fontId="0" fillId="0" borderId="0" xfId="0" applyNumberFormat="1" applyBorder="1" applyAlignment="1" applyProtection="1">
      <alignment horizontal="center" vertical="top"/>
      <protection hidden="1"/>
    </xf>
    <xf numFmtId="2" fontId="0" fillId="0" borderId="0" xfId="0" applyNumberFormat="1" applyBorder="1" applyAlignment="1" applyProtection="1">
      <alignment horizontal="center" vertical="top"/>
      <protection hidden="1"/>
    </xf>
    <xf numFmtId="0" fontId="2" fillId="4" borderId="0" xfId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top" wrapText="1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164" fontId="2" fillId="0" borderId="0" xfId="1" applyNumberFormat="1" applyFill="1" applyAlignment="1" applyProtection="1">
      <alignment horizontal="center" vertical="center"/>
      <protection hidden="1"/>
    </xf>
    <xf numFmtId="164" fontId="2" fillId="5" borderId="0" xfId="1" applyNumberFormat="1" applyFill="1" applyBorder="1" applyAlignment="1" applyProtection="1">
      <alignment horizontal="center" vertical="center"/>
      <protection hidden="1"/>
    </xf>
    <xf numFmtId="164" fontId="2" fillId="5" borderId="0" xfId="1" applyNumberFormat="1" applyFill="1" applyAlignment="1" applyProtection="1">
      <alignment horizontal="center" vertical="center"/>
      <protection hidden="1"/>
    </xf>
    <xf numFmtId="0" fontId="2" fillId="0" borderId="0" xfId="1" applyFill="1" applyAlignment="1" applyProtection="1">
      <alignment horizontal="left" vertical="center"/>
      <protection hidden="1"/>
    </xf>
    <xf numFmtId="0" fontId="2" fillId="0" borderId="0" xfId="1" applyFill="1" applyAlignment="1" applyProtection="1">
      <alignment horizontal="center" vertical="center"/>
      <protection hidden="1"/>
    </xf>
    <xf numFmtId="0" fontId="2" fillId="0" borderId="0" xfId="1" applyFill="1" applyBorder="1" applyAlignment="1" applyProtection="1">
      <alignment horizontal="center" vertical="center"/>
      <protection hidden="1"/>
    </xf>
    <xf numFmtId="0" fontId="2" fillId="0" borderId="11" xfId="1" applyFill="1" applyBorder="1" applyAlignment="1" applyProtection="1">
      <alignment horizontal="center" vertical="center"/>
      <protection hidden="1"/>
    </xf>
    <xf numFmtId="0" fontId="2" fillId="0" borderId="0" xfId="1" applyBorder="1" applyAlignment="1" applyProtection="1">
      <alignment horizontal="left" vertical="center"/>
      <protection hidden="1"/>
    </xf>
    <xf numFmtId="0" fontId="11" fillId="0" borderId="0" xfId="1" applyFont="1" applyBorder="1" applyAlignment="1" applyProtection="1">
      <alignment horizontal="left" vertical="center"/>
      <protection hidden="1"/>
    </xf>
    <xf numFmtId="0" fontId="2" fillId="0" borderId="11" xfId="1" applyBorder="1" applyAlignment="1" applyProtection="1">
      <alignment horizontal="center" vertical="center"/>
      <protection hidden="1"/>
    </xf>
    <xf numFmtId="0" fontId="0" fillId="0" borderId="23" xfId="0" applyBorder="1" applyProtection="1">
      <protection hidden="1"/>
    </xf>
    <xf numFmtId="0" fontId="2" fillId="0" borderId="23" xfId="1" applyBorder="1" applyAlignment="1" applyProtection="1">
      <alignment horizontal="center" vertical="center"/>
      <protection hidden="1"/>
    </xf>
    <xf numFmtId="1" fontId="2" fillId="0" borderId="23" xfId="1" applyNumberForma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2" fontId="0" fillId="0" borderId="0" xfId="0" applyNumberFormat="1" applyFill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0" xfId="0" applyFill="1" applyBorder="1" applyProtection="1">
      <protection hidden="1"/>
    </xf>
    <xf numFmtId="2" fontId="5" fillId="0" borderId="0" xfId="0" applyNumberFormat="1" applyFont="1" applyFill="1" applyBorder="1" applyProtection="1">
      <protection hidden="1"/>
    </xf>
    <xf numFmtId="1" fontId="2" fillId="0" borderId="0" xfId="1" applyNumberFormat="1" applyFill="1" applyBorder="1" applyAlignment="1" applyProtection="1">
      <alignment horizontal="center" vertical="center"/>
      <protection hidden="1"/>
    </xf>
    <xf numFmtId="0" fontId="2" fillId="0" borderId="11" xfId="1" applyFont="1" applyBorder="1" applyAlignment="1" applyProtection="1">
      <alignment horizontal="center"/>
      <protection hidden="1"/>
    </xf>
    <xf numFmtId="1" fontId="2" fillId="0" borderId="12" xfId="1" applyNumberFormat="1" applyFont="1" applyBorder="1" applyAlignment="1" applyProtection="1">
      <alignment horizontal="center"/>
      <protection hidden="1"/>
    </xf>
    <xf numFmtId="2" fontId="0" fillId="0" borderId="12" xfId="0" applyNumberFormat="1" applyFont="1" applyFill="1" applyBorder="1" applyAlignment="1" applyProtection="1">
      <alignment horizontal="center"/>
      <protection hidden="1"/>
    </xf>
    <xf numFmtId="0" fontId="2" fillId="0" borderId="22" xfId="1" applyFont="1" applyBorder="1" applyAlignment="1" applyProtection="1">
      <alignment horizontal="center"/>
      <protection hidden="1"/>
    </xf>
    <xf numFmtId="2" fontId="0" fillId="0" borderId="24" xfId="0" applyNumberFormat="1" applyFont="1" applyFill="1" applyBorder="1" applyAlignment="1" applyProtection="1">
      <alignment horizontal="center"/>
      <protection hidden="1"/>
    </xf>
    <xf numFmtId="1" fontId="0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0" xfId="1" applyNumberFormat="1" applyFont="1" applyFill="1" applyAlignment="1" applyProtection="1">
      <alignment horizontal="center" vertical="center"/>
      <protection hidden="1"/>
    </xf>
    <xf numFmtId="2" fontId="6" fillId="0" borderId="0" xfId="1" applyNumberFormat="1" applyFont="1" applyFill="1" applyAlignment="1" applyProtection="1">
      <alignment horizontal="center" vertical="center"/>
      <protection hidden="1"/>
    </xf>
    <xf numFmtId="164" fontId="6" fillId="0" borderId="0" xfId="1" applyNumberFormat="1" applyFont="1" applyFill="1" applyAlignment="1" applyProtection="1">
      <alignment horizontal="center" vertical="center"/>
      <protection hidden="1"/>
    </xf>
    <xf numFmtId="1" fontId="0" fillId="0" borderId="27" xfId="0" applyNumberFormat="1" applyFont="1" applyFill="1" applyBorder="1" applyAlignment="1" applyProtection="1">
      <alignment horizontal="center" vertical="center"/>
      <protection hidden="1"/>
    </xf>
    <xf numFmtId="2" fontId="0" fillId="0" borderId="23" xfId="1" applyNumberFormat="1" applyFont="1" applyFill="1" applyBorder="1" applyAlignment="1" applyProtection="1">
      <alignment horizontal="center" vertical="center"/>
      <protection hidden="1"/>
    </xf>
    <xf numFmtId="164" fontId="0" fillId="0" borderId="23" xfId="1" applyNumberFormat="1" applyFont="1" applyFill="1" applyBorder="1" applyAlignment="1" applyProtection="1">
      <alignment horizontal="center" vertical="center"/>
      <protection hidden="1"/>
    </xf>
    <xf numFmtId="1" fontId="0" fillId="0" borderId="23" xfId="1" applyNumberFormat="1" applyFont="1" applyFill="1" applyBorder="1" applyAlignment="1" applyProtection="1">
      <alignment horizontal="center" vertical="center"/>
      <protection hidden="1"/>
    </xf>
    <xf numFmtId="164" fontId="0" fillId="8" borderId="23" xfId="1" applyNumberFormat="1" applyFont="1" applyFill="1" applyBorder="1" applyAlignment="1" applyProtection="1">
      <alignment horizontal="center" vertical="center"/>
      <protection hidden="1"/>
    </xf>
    <xf numFmtId="164" fontId="0" fillId="0" borderId="28" xfId="1" applyNumberFormat="1" applyFont="1" applyFill="1" applyBorder="1" applyAlignment="1" applyProtection="1">
      <alignment horizontal="center" vertical="center"/>
      <protection hidden="1"/>
    </xf>
    <xf numFmtId="164" fontId="6" fillId="0" borderId="23" xfId="1" applyNumberFormat="1" applyFont="1" applyFill="1" applyBorder="1" applyAlignment="1" applyProtection="1">
      <alignment horizontal="center" vertical="center"/>
      <protection hidden="1"/>
    </xf>
    <xf numFmtId="164" fontId="6" fillId="0" borderId="24" xfId="1" applyNumberFormat="1" applyFont="1" applyFill="1" applyBorder="1" applyAlignment="1" applyProtection="1">
      <alignment horizontal="center" vertical="center"/>
      <protection hidden="1"/>
    </xf>
    <xf numFmtId="1" fontId="0" fillId="10" borderId="22" xfId="1" applyNumberFormat="1" applyFont="1" applyFill="1" applyBorder="1" applyAlignment="1" applyProtection="1">
      <alignment horizontal="center" vertical="center"/>
      <protection hidden="1"/>
    </xf>
    <xf numFmtId="2" fontId="0" fillId="10" borderId="23" xfId="1" applyNumberFormat="1" applyFont="1" applyFill="1" applyBorder="1" applyAlignment="1" applyProtection="1">
      <alignment horizontal="center" vertical="center"/>
      <protection hidden="1"/>
    </xf>
    <xf numFmtId="1" fontId="0" fillId="10" borderId="23" xfId="1" applyNumberFormat="1" applyFont="1" applyFill="1" applyBorder="1" applyAlignment="1" applyProtection="1">
      <alignment horizontal="center" vertical="center"/>
      <protection hidden="1"/>
    </xf>
    <xf numFmtId="164" fontId="0" fillId="10" borderId="23" xfId="1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 applyFill="1" applyProtection="1">
      <protection hidden="1"/>
    </xf>
    <xf numFmtId="1" fontId="2" fillId="0" borderId="0" xfId="1" applyNumberFormat="1" applyAlignment="1" applyProtection="1">
      <alignment horizontal="right" vertical="center"/>
      <protection hidden="1"/>
    </xf>
    <xf numFmtId="164" fontId="12" fillId="0" borderId="0" xfId="1" applyNumberFormat="1" applyFont="1" applyAlignment="1" applyProtection="1">
      <alignment horizontal="center" vertical="center"/>
      <protection hidden="1"/>
    </xf>
    <xf numFmtId="2" fontId="2" fillId="0" borderId="0" xfId="1" applyNumberFormat="1" applyFont="1" applyAlignment="1" applyProtection="1">
      <alignment horizontal="center" vertical="center"/>
      <protection hidden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2" fillId="0" borderId="0" xfId="1" applyNumberFormat="1" applyFont="1" applyFill="1" applyAlignment="1" applyProtection="1">
      <alignment horizontal="center" vertical="center"/>
      <protection hidden="1"/>
    </xf>
    <xf numFmtId="1" fontId="0" fillId="0" borderId="0" xfId="1" applyNumberFormat="1" applyFont="1" applyFill="1" applyAlignment="1" applyProtection="1">
      <alignment horizontal="center" vertical="center"/>
      <protection hidden="1"/>
    </xf>
    <xf numFmtId="164" fontId="2" fillId="12" borderId="0" xfId="1" applyNumberFormat="1" applyFill="1" applyBorder="1" applyAlignment="1" applyProtection="1">
      <alignment horizontal="center" vertical="center"/>
      <protection hidden="1"/>
    </xf>
    <xf numFmtId="0" fontId="12" fillId="0" borderId="0" xfId="0" applyFont="1"/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left" vertical="top"/>
    </xf>
    <xf numFmtId="0" fontId="12" fillId="11" borderId="1" xfId="0" applyFont="1" applyFill="1" applyBorder="1" applyAlignment="1" applyProtection="1">
      <alignment horizontal="center" vertical="top"/>
      <protection locked="0"/>
    </xf>
    <xf numFmtId="0" fontId="12" fillId="0" borderId="7" xfId="0" applyFont="1" applyBorder="1" applyAlignment="1">
      <alignment horizontal="center" vertical="top"/>
    </xf>
    <xf numFmtId="164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top"/>
    </xf>
    <xf numFmtId="1" fontId="12" fillId="0" borderId="0" xfId="0" applyNumberFormat="1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/>
    </xf>
    <xf numFmtId="0" fontId="12" fillId="11" borderId="9" xfId="0" applyFont="1" applyFill="1" applyBorder="1" applyAlignment="1" applyProtection="1">
      <alignment horizontal="center" vertical="top"/>
      <protection locked="0"/>
    </xf>
    <xf numFmtId="0" fontId="12" fillId="0" borderId="9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2" fillId="11" borderId="4" xfId="0" applyFont="1" applyFill="1" applyBorder="1" applyAlignment="1" applyProtection="1">
      <alignment horizontal="center" vertical="top"/>
      <protection locked="0"/>
    </xf>
    <xf numFmtId="0" fontId="12" fillId="0" borderId="17" xfId="0" applyFont="1" applyBorder="1" applyAlignment="1">
      <alignment horizontal="left" vertical="top"/>
    </xf>
    <xf numFmtId="0" fontId="12" fillId="0" borderId="10" xfId="0" applyFont="1" applyBorder="1" applyAlignment="1" applyProtection="1">
      <alignment horizontal="center" vertical="top"/>
    </xf>
    <xf numFmtId="0" fontId="12" fillId="11" borderId="10" xfId="0" applyFont="1" applyFill="1" applyBorder="1" applyAlignment="1" applyProtection="1">
      <alignment horizontal="center" vertical="top"/>
      <protection locked="0"/>
    </xf>
    <xf numFmtId="0" fontId="12" fillId="0" borderId="18" xfId="0" applyFont="1" applyBorder="1" applyAlignment="1">
      <alignment horizontal="center" vertical="top"/>
    </xf>
    <xf numFmtId="49" fontId="12" fillId="11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/>
      <protection hidden="1"/>
    </xf>
    <xf numFmtId="0" fontId="12" fillId="0" borderId="8" xfId="0" applyFont="1" applyFill="1" applyBorder="1" applyAlignment="1">
      <alignment horizontal="left" vertical="top"/>
    </xf>
    <xf numFmtId="1" fontId="12" fillId="11" borderId="9" xfId="0" applyNumberFormat="1" applyFont="1" applyFill="1" applyBorder="1" applyAlignment="1" applyProtection="1">
      <alignment horizontal="center" vertical="top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" fillId="13" borderId="0" xfId="1" applyFont="1" applyFill="1" applyAlignment="1" applyProtection="1">
      <alignment horizontal="center" vertical="center"/>
      <protection hidden="1"/>
    </xf>
    <xf numFmtId="164" fontId="2" fillId="13" borderId="0" xfId="1" applyNumberFormat="1" applyFill="1" applyAlignment="1" applyProtection="1">
      <alignment horizontal="center" vertical="center"/>
      <protection hidden="1"/>
    </xf>
    <xf numFmtId="0" fontId="2" fillId="13" borderId="0" xfId="1" applyFill="1" applyAlignment="1" applyProtection="1">
      <alignment horizontal="center" vertical="center"/>
      <protection hidden="1"/>
    </xf>
    <xf numFmtId="0" fontId="4" fillId="0" borderId="0" xfId="0" applyFont="1" applyFill="1" applyAlignment="1">
      <alignment horizontal="center" vertical="center"/>
    </xf>
    <xf numFmtId="0" fontId="12" fillId="0" borderId="29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" fillId="0" borderId="19" xfId="1" applyBorder="1" applyAlignment="1" applyProtection="1">
      <alignment horizontal="center" vertical="center"/>
      <protection hidden="1"/>
    </xf>
    <xf numFmtId="0" fontId="2" fillId="0" borderId="21" xfId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3" fillId="0" borderId="19" xfId="1" applyFont="1" applyBorder="1" applyAlignment="1" applyProtection="1">
      <alignment horizontal="center" vertical="center"/>
      <protection hidden="1"/>
    </xf>
    <xf numFmtId="0" fontId="3" fillId="0" borderId="20" xfId="1" applyFont="1" applyBorder="1" applyAlignment="1" applyProtection="1">
      <alignment horizontal="center" vertical="center"/>
      <protection hidden="1"/>
    </xf>
    <xf numFmtId="0" fontId="9" fillId="0" borderId="11" xfId="1" applyFont="1" applyBorder="1" applyAlignment="1" applyProtection="1">
      <alignment horizontal="left" vertical="center"/>
      <protection hidden="1"/>
    </xf>
    <xf numFmtId="0" fontId="9" fillId="0" borderId="0" xfId="1" applyFont="1" applyBorder="1" applyAlignment="1" applyProtection="1">
      <alignment horizontal="left" vertical="center"/>
      <protection hidden="1"/>
    </xf>
    <xf numFmtId="0" fontId="9" fillId="0" borderId="22" xfId="1" applyFont="1" applyBorder="1" applyAlignment="1" applyProtection="1">
      <alignment horizontal="left" vertical="center"/>
      <protection hidden="1"/>
    </xf>
    <xf numFmtId="0" fontId="9" fillId="0" borderId="23" xfId="1" applyFont="1" applyBorder="1" applyAlignment="1" applyProtection="1">
      <alignment horizontal="left" vertical="center"/>
      <protection hidden="1"/>
    </xf>
    <xf numFmtId="0" fontId="4" fillId="0" borderId="0" xfId="1" applyFont="1" applyFill="1" applyAlignment="1" applyProtection="1">
      <alignment horizontal="center" vertical="center"/>
      <protection hidden="1"/>
    </xf>
  </cellXfs>
  <cellStyles count="3">
    <cellStyle name="Collegamento ipertestuale" xfId="2" builtinId="8"/>
    <cellStyle name="Normale" xfId="0" builtinId="0"/>
    <cellStyle name="Normale 2" xfId="1" xr:uid="{00000000-0005-0000-0000-000002000000}"/>
  </cellStyles>
  <dxfs count="54">
    <dxf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numFmt numFmtId="1" formatCode="0"/>
      <protection locked="1" hidden="1"/>
    </dxf>
    <dxf>
      <protection locked="1" hidden="1"/>
    </dxf>
    <dxf>
      <protection locked="1" hidden="1"/>
    </dxf>
    <dxf>
      <protection locked="1" hidden="1"/>
    </dxf>
    <dxf>
      <border outline="0">
        <right style="medium">
          <color indexed="64"/>
        </right>
        <top style="thin">
          <color theme="7" tint="0.39997558519241921"/>
        </top>
        <bottom style="thin">
          <color theme="7" tint="0.39997558519241921"/>
        </bottom>
      </border>
    </dxf>
    <dxf>
      <protection locked="1" hidden="1"/>
    </dxf>
    <dxf>
      <border outline="0">
        <bottom style="thin">
          <color theme="7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" formatCode="0"/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numFmt numFmtId="164" formatCode="0.0"/>
      <alignment horizontal="center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it-IT" sz="2800"/>
              <a:t>Electra </a:t>
            </a:r>
            <a:r>
              <a:rPr lang="it-IT" sz="2800" baseline="0"/>
              <a:t>consumption simulator</a:t>
            </a:r>
          </a:p>
        </c:rich>
      </c:tx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Lithium battery</c:v>
          </c:tx>
          <c:spPr>
            <a:ln w="76200">
              <a:solidFill>
                <a:schemeClr val="accent2"/>
              </a:solidFill>
              <a:headEnd type="none"/>
            </a:ln>
          </c:spPr>
          <c:marker>
            <c:symbol val="none"/>
          </c:marker>
          <c:dLbls>
            <c:delete val="1"/>
          </c:dLbls>
          <c:xVal>
            <c:numRef>
              <c:f>Calculation!$AM$3:$AM$227</c:f>
              <c:numCache>
                <c:formatCode>0.0</c:formatCode>
                <c:ptCount val="225"/>
                <c:pt idx="0">
                  <c:v>0</c:v>
                </c:pt>
                <c:pt idx="1">
                  <c:v>2</c:v>
                </c:pt>
                <c:pt idx="2">
                  <c:v>2.125</c:v>
                </c:pt>
                <c:pt idx="3">
                  <c:v>2.375</c:v>
                </c:pt>
                <c:pt idx="4">
                  <c:v>2.5</c:v>
                </c:pt>
                <c:pt idx="5">
                  <c:v>4.5</c:v>
                </c:pt>
                <c:pt idx="6">
                  <c:v>4.625</c:v>
                </c:pt>
                <c:pt idx="7">
                  <c:v>4.875</c:v>
                </c:pt>
                <c:pt idx="8">
                  <c:v>5</c:v>
                </c:pt>
                <c:pt idx="9">
                  <c:v>7</c:v>
                </c:pt>
                <c:pt idx="10">
                  <c:v>7.125</c:v>
                </c:pt>
                <c:pt idx="11">
                  <c:v>7.375</c:v>
                </c:pt>
                <c:pt idx="12">
                  <c:v>7.5</c:v>
                </c:pt>
                <c:pt idx="13">
                  <c:v>9.5</c:v>
                </c:pt>
                <c:pt idx="14">
                  <c:v>9.625</c:v>
                </c:pt>
                <c:pt idx="15">
                  <c:v>9.875</c:v>
                </c:pt>
                <c:pt idx="16">
                  <c:v>10</c:v>
                </c:pt>
                <c:pt idx="17">
                  <c:v>12</c:v>
                </c:pt>
                <c:pt idx="18">
                  <c:v>12.125</c:v>
                </c:pt>
                <c:pt idx="19">
                  <c:v>12.375</c:v>
                </c:pt>
                <c:pt idx="20">
                  <c:v>12.5</c:v>
                </c:pt>
                <c:pt idx="21">
                  <c:v>14.5</c:v>
                </c:pt>
                <c:pt idx="22">
                  <c:v>14.625</c:v>
                </c:pt>
                <c:pt idx="23">
                  <c:v>14.875</c:v>
                </c:pt>
                <c:pt idx="24">
                  <c:v>15</c:v>
                </c:pt>
                <c:pt idx="25">
                  <c:v>17</c:v>
                </c:pt>
                <c:pt idx="26">
                  <c:v>17.125</c:v>
                </c:pt>
                <c:pt idx="27">
                  <c:v>17.375</c:v>
                </c:pt>
                <c:pt idx="28">
                  <c:v>17.5</c:v>
                </c:pt>
                <c:pt idx="29">
                  <c:v>19.5</c:v>
                </c:pt>
                <c:pt idx="30">
                  <c:v>19.625</c:v>
                </c:pt>
                <c:pt idx="31">
                  <c:v>19.875</c:v>
                </c:pt>
                <c:pt idx="32">
                  <c:v>20</c:v>
                </c:pt>
                <c:pt idx="33">
                  <c:v>22</c:v>
                </c:pt>
                <c:pt idx="34">
                  <c:v>22.125</c:v>
                </c:pt>
                <c:pt idx="35">
                  <c:v>22.375</c:v>
                </c:pt>
                <c:pt idx="36">
                  <c:v>22.5</c:v>
                </c:pt>
                <c:pt idx="37">
                  <c:v>24.5</c:v>
                </c:pt>
                <c:pt idx="38">
                  <c:v>24.625</c:v>
                </c:pt>
                <c:pt idx="39">
                  <c:v>24.875</c:v>
                </c:pt>
                <c:pt idx="40">
                  <c:v>25</c:v>
                </c:pt>
                <c:pt idx="41">
                  <c:v>27</c:v>
                </c:pt>
                <c:pt idx="42">
                  <c:v>27.125</c:v>
                </c:pt>
                <c:pt idx="43">
                  <c:v>27.375</c:v>
                </c:pt>
                <c:pt idx="44">
                  <c:v>27.5</c:v>
                </c:pt>
                <c:pt idx="45">
                  <c:v>29.5</c:v>
                </c:pt>
                <c:pt idx="46">
                  <c:v>29.625</c:v>
                </c:pt>
                <c:pt idx="47">
                  <c:v>29.875</c:v>
                </c:pt>
                <c:pt idx="48">
                  <c:v>30</c:v>
                </c:pt>
                <c:pt idx="49">
                  <c:v>32</c:v>
                </c:pt>
                <c:pt idx="50">
                  <c:v>32.125</c:v>
                </c:pt>
                <c:pt idx="51">
                  <c:v>32.375</c:v>
                </c:pt>
                <c:pt idx="52">
                  <c:v>32.5</c:v>
                </c:pt>
                <c:pt idx="53">
                  <c:v>34.5</c:v>
                </c:pt>
                <c:pt idx="54">
                  <c:v>34.625</c:v>
                </c:pt>
                <c:pt idx="55">
                  <c:v>34.875</c:v>
                </c:pt>
                <c:pt idx="56">
                  <c:v>35</c:v>
                </c:pt>
                <c:pt idx="57">
                  <c:v>37</c:v>
                </c:pt>
                <c:pt idx="58">
                  <c:v>37.125</c:v>
                </c:pt>
                <c:pt idx="59">
                  <c:v>37.375</c:v>
                </c:pt>
                <c:pt idx="60">
                  <c:v>37.5</c:v>
                </c:pt>
                <c:pt idx="61">
                  <c:v>39.5</c:v>
                </c:pt>
                <c:pt idx="62">
                  <c:v>39.625</c:v>
                </c:pt>
                <c:pt idx="63">
                  <c:v>39.875</c:v>
                </c:pt>
                <c:pt idx="64">
                  <c:v>40</c:v>
                </c:pt>
                <c:pt idx="65">
                  <c:v>42</c:v>
                </c:pt>
                <c:pt idx="66">
                  <c:v>42.125</c:v>
                </c:pt>
                <c:pt idx="67">
                  <c:v>42.375</c:v>
                </c:pt>
                <c:pt idx="68">
                  <c:v>42.5</c:v>
                </c:pt>
                <c:pt idx="69">
                  <c:v>44.5</c:v>
                </c:pt>
                <c:pt idx="70">
                  <c:v>44.625</c:v>
                </c:pt>
                <c:pt idx="71">
                  <c:v>44.875</c:v>
                </c:pt>
                <c:pt idx="72">
                  <c:v>45</c:v>
                </c:pt>
                <c:pt idx="73">
                  <c:v>47</c:v>
                </c:pt>
                <c:pt idx="74">
                  <c:v>47.125</c:v>
                </c:pt>
                <c:pt idx="75">
                  <c:v>47.375</c:v>
                </c:pt>
                <c:pt idx="76">
                  <c:v>47.5</c:v>
                </c:pt>
                <c:pt idx="77">
                  <c:v>49.5</c:v>
                </c:pt>
                <c:pt idx="78">
                  <c:v>49.625</c:v>
                </c:pt>
                <c:pt idx="79">
                  <c:v>49.875</c:v>
                </c:pt>
                <c:pt idx="80">
                  <c:v>50</c:v>
                </c:pt>
                <c:pt idx="81">
                  <c:v>52</c:v>
                </c:pt>
                <c:pt idx="82">
                  <c:v>52.125</c:v>
                </c:pt>
                <c:pt idx="83">
                  <c:v>52.375</c:v>
                </c:pt>
                <c:pt idx="84">
                  <c:v>52.5</c:v>
                </c:pt>
                <c:pt idx="85">
                  <c:v>54.5</c:v>
                </c:pt>
                <c:pt idx="86">
                  <c:v>54.625</c:v>
                </c:pt>
                <c:pt idx="87">
                  <c:v>54.875</c:v>
                </c:pt>
                <c:pt idx="88">
                  <c:v>55</c:v>
                </c:pt>
                <c:pt idx="89">
                  <c:v>57</c:v>
                </c:pt>
                <c:pt idx="90">
                  <c:v>57.125</c:v>
                </c:pt>
                <c:pt idx="91">
                  <c:v>57.375</c:v>
                </c:pt>
                <c:pt idx="92">
                  <c:v>57.5</c:v>
                </c:pt>
                <c:pt idx="93">
                  <c:v>59.5</c:v>
                </c:pt>
                <c:pt idx="94">
                  <c:v>59.625</c:v>
                </c:pt>
                <c:pt idx="95">
                  <c:v>59.875</c:v>
                </c:pt>
                <c:pt idx="96">
                  <c:v>60</c:v>
                </c:pt>
                <c:pt idx="97">
                  <c:v>62</c:v>
                </c:pt>
                <c:pt idx="98">
                  <c:v>62.125</c:v>
                </c:pt>
                <c:pt idx="99">
                  <c:v>62.375</c:v>
                </c:pt>
                <c:pt idx="100">
                  <c:v>62.5</c:v>
                </c:pt>
                <c:pt idx="101">
                  <c:v>64.5</c:v>
                </c:pt>
                <c:pt idx="102">
                  <c:v>64.625</c:v>
                </c:pt>
                <c:pt idx="103">
                  <c:v>64.875</c:v>
                </c:pt>
                <c:pt idx="104">
                  <c:v>65</c:v>
                </c:pt>
                <c:pt idx="105">
                  <c:v>67</c:v>
                </c:pt>
                <c:pt idx="106">
                  <c:v>67.125</c:v>
                </c:pt>
                <c:pt idx="107">
                  <c:v>67.375</c:v>
                </c:pt>
                <c:pt idx="108">
                  <c:v>67.5</c:v>
                </c:pt>
                <c:pt idx="109">
                  <c:v>69.5</c:v>
                </c:pt>
                <c:pt idx="110">
                  <c:v>69.625</c:v>
                </c:pt>
                <c:pt idx="111">
                  <c:v>69.875</c:v>
                </c:pt>
                <c:pt idx="112">
                  <c:v>70</c:v>
                </c:pt>
                <c:pt idx="113">
                  <c:v>72</c:v>
                </c:pt>
                <c:pt idx="114">
                  <c:v>72.125</c:v>
                </c:pt>
                <c:pt idx="115">
                  <c:v>72.375</c:v>
                </c:pt>
                <c:pt idx="116">
                  <c:v>72.5</c:v>
                </c:pt>
                <c:pt idx="117">
                  <c:v>74.5</c:v>
                </c:pt>
                <c:pt idx="118">
                  <c:v>74.625</c:v>
                </c:pt>
                <c:pt idx="119">
                  <c:v>74.875</c:v>
                </c:pt>
                <c:pt idx="120">
                  <c:v>75</c:v>
                </c:pt>
                <c:pt idx="121">
                  <c:v>77</c:v>
                </c:pt>
                <c:pt idx="122">
                  <c:v>77.125</c:v>
                </c:pt>
                <c:pt idx="123">
                  <c:v>77.375</c:v>
                </c:pt>
                <c:pt idx="124">
                  <c:v>77.5</c:v>
                </c:pt>
                <c:pt idx="125">
                  <c:v>79.5</c:v>
                </c:pt>
                <c:pt idx="126">
                  <c:v>79.625</c:v>
                </c:pt>
                <c:pt idx="127">
                  <c:v>79.875</c:v>
                </c:pt>
                <c:pt idx="128">
                  <c:v>80</c:v>
                </c:pt>
                <c:pt idx="129">
                  <c:v>82</c:v>
                </c:pt>
                <c:pt idx="130">
                  <c:v>82.125</c:v>
                </c:pt>
                <c:pt idx="131">
                  <c:v>82.375</c:v>
                </c:pt>
                <c:pt idx="132">
                  <c:v>82.5</c:v>
                </c:pt>
                <c:pt idx="133">
                  <c:v>84.5</c:v>
                </c:pt>
                <c:pt idx="134">
                  <c:v>84.625</c:v>
                </c:pt>
                <c:pt idx="135">
                  <c:v>84.875</c:v>
                </c:pt>
                <c:pt idx="136">
                  <c:v>85</c:v>
                </c:pt>
                <c:pt idx="137">
                  <c:v>87</c:v>
                </c:pt>
                <c:pt idx="138">
                  <c:v>87.125</c:v>
                </c:pt>
                <c:pt idx="139">
                  <c:v>87.375</c:v>
                </c:pt>
                <c:pt idx="140">
                  <c:v>87.5</c:v>
                </c:pt>
                <c:pt idx="141">
                  <c:v>89.5</c:v>
                </c:pt>
                <c:pt idx="142">
                  <c:v>89.625</c:v>
                </c:pt>
                <c:pt idx="143">
                  <c:v>89.875</c:v>
                </c:pt>
                <c:pt idx="144">
                  <c:v>90</c:v>
                </c:pt>
                <c:pt idx="145">
                  <c:v>92</c:v>
                </c:pt>
                <c:pt idx="146">
                  <c:v>92.125</c:v>
                </c:pt>
                <c:pt idx="147">
                  <c:v>92.375</c:v>
                </c:pt>
                <c:pt idx="148">
                  <c:v>92.5</c:v>
                </c:pt>
                <c:pt idx="149">
                  <c:v>94.5</c:v>
                </c:pt>
                <c:pt idx="150">
                  <c:v>94.625</c:v>
                </c:pt>
                <c:pt idx="151">
                  <c:v>94.875</c:v>
                </c:pt>
                <c:pt idx="152">
                  <c:v>95</c:v>
                </c:pt>
                <c:pt idx="153">
                  <c:v>97</c:v>
                </c:pt>
                <c:pt idx="154">
                  <c:v>97.125</c:v>
                </c:pt>
                <c:pt idx="155">
                  <c:v>97.375</c:v>
                </c:pt>
                <c:pt idx="156">
                  <c:v>97.5</c:v>
                </c:pt>
                <c:pt idx="157">
                  <c:v>99.5</c:v>
                </c:pt>
                <c:pt idx="158">
                  <c:v>99.625</c:v>
                </c:pt>
                <c:pt idx="159">
                  <c:v>99.875</c:v>
                </c:pt>
                <c:pt idx="160">
                  <c:v>100</c:v>
                </c:pt>
                <c:pt idx="161">
                  <c:v>102</c:v>
                </c:pt>
                <c:pt idx="162">
                  <c:v>102.125</c:v>
                </c:pt>
                <c:pt idx="163">
                  <c:v>102.375</c:v>
                </c:pt>
                <c:pt idx="164">
                  <c:v>102.5</c:v>
                </c:pt>
                <c:pt idx="165">
                  <c:v>104.5</c:v>
                </c:pt>
                <c:pt idx="166">
                  <c:v>104.625</c:v>
                </c:pt>
                <c:pt idx="167">
                  <c:v>104.875</c:v>
                </c:pt>
                <c:pt idx="168">
                  <c:v>105</c:v>
                </c:pt>
                <c:pt idx="169">
                  <c:v>107</c:v>
                </c:pt>
                <c:pt idx="170">
                  <c:v>107.125</c:v>
                </c:pt>
                <c:pt idx="171">
                  <c:v>107.375</c:v>
                </c:pt>
                <c:pt idx="172">
                  <c:v>107.5</c:v>
                </c:pt>
                <c:pt idx="173">
                  <c:v>109.5</c:v>
                </c:pt>
                <c:pt idx="174">
                  <c:v>109.625</c:v>
                </c:pt>
                <c:pt idx="175">
                  <c:v>109.875</c:v>
                </c:pt>
                <c:pt idx="176">
                  <c:v>110</c:v>
                </c:pt>
                <c:pt idx="177">
                  <c:v>112</c:v>
                </c:pt>
                <c:pt idx="178">
                  <c:v>112.125</c:v>
                </c:pt>
                <c:pt idx="179">
                  <c:v>112.375</c:v>
                </c:pt>
                <c:pt idx="180">
                  <c:v>112.5</c:v>
                </c:pt>
                <c:pt idx="181">
                  <c:v>114.5</c:v>
                </c:pt>
                <c:pt idx="182">
                  <c:v>114.625</c:v>
                </c:pt>
                <c:pt idx="183">
                  <c:v>114.875</c:v>
                </c:pt>
                <c:pt idx="184">
                  <c:v>115</c:v>
                </c:pt>
                <c:pt idx="185">
                  <c:v>117</c:v>
                </c:pt>
                <c:pt idx="186">
                  <c:v>117.125</c:v>
                </c:pt>
                <c:pt idx="187">
                  <c:v>117.375</c:v>
                </c:pt>
                <c:pt idx="188">
                  <c:v>117.5</c:v>
                </c:pt>
                <c:pt idx="189">
                  <c:v>119.5</c:v>
                </c:pt>
                <c:pt idx="190">
                  <c:v>119.625</c:v>
                </c:pt>
                <c:pt idx="191">
                  <c:v>119.875</c:v>
                </c:pt>
                <c:pt idx="192">
                  <c:v>120</c:v>
                </c:pt>
                <c:pt idx="193">
                  <c:v>122</c:v>
                </c:pt>
                <c:pt idx="194">
                  <c:v>122.125</c:v>
                </c:pt>
                <c:pt idx="195">
                  <c:v>122.375</c:v>
                </c:pt>
                <c:pt idx="196">
                  <c:v>122.5</c:v>
                </c:pt>
                <c:pt idx="197">
                  <c:v>124.5</c:v>
                </c:pt>
                <c:pt idx="198">
                  <c:v>124.625</c:v>
                </c:pt>
                <c:pt idx="199">
                  <c:v>124.875</c:v>
                </c:pt>
                <c:pt idx="200">
                  <c:v>125</c:v>
                </c:pt>
                <c:pt idx="201">
                  <c:v>127</c:v>
                </c:pt>
                <c:pt idx="202">
                  <c:v>127.125</c:v>
                </c:pt>
                <c:pt idx="203">
                  <c:v>127.375</c:v>
                </c:pt>
                <c:pt idx="204">
                  <c:v>127.5</c:v>
                </c:pt>
                <c:pt idx="205">
                  <c:v>129.5</c:v>
                </c:pt>
                <c:pt idx="206">
                  <c:v>129.625</c:v>
                </c:pt>
                <c:pt idx="207">
                  <c:v>129.875</c:v>
                </c:pt>
                <c:pt idx="208">
                  <c:v>130</c:v>
                </c:pt>
                <c:pt idx="209">
                  <c:v>132</c:v>
                </c:pt>
                <c:pt idx="210">
                  <c:v>132.125</c:v>
                </c:pt>
                <c:pt idx="211">
                  <c:v>132.375</c:v>
                </c:pt>
                <c:pt idx="212">
                  <c:v>132.5</c:v>
                </c:pt>
                <c:pt idx="213">
                  <c:v>134.5</c:v>
                </c:pt>
                <c:pt idx="214">
                  <c:v>134.625</c:v>
                </c:pt>
                <c:pt idx="215">
                  <c:v>134.875</c:v>
                </c:pt>
                <c:pt idx="216">
                  <c:v>135</c:v>
                </c:pt>
                <c:pt idx="217">
                  <c:v>137</c:v>
                </c:pt>
                <c:pt idx="218">
                  <c:v>137.125</c:v>
                </c:pt>
                <c:pt idx="219">
                  <c:v>137.375</c:v>
                </c:pt>
                <c:pt idx="220">
                  <c:v>137.5</c:v>
                </c:pt>
                <c:pt idx="221">
                  <c:v>139.5</c:v>
                </c:pt>
                <c:pt idx="222">
                  <c:v>139.625</c:v>
                </c:pt>
                <c:pt idx="223">
                  <c:v>139.875</c:v>
                </c:pt>
                <c:pt idx="224">
                  <c:v>140</c:v>
                </c:pt>
              </c:numCache>
            </c:numRef>
          </c:xVal>
          <c:yVal>
            <c:numRef>
              <c:f>Calculation!$AF$3:$AF$227</c:f>
              <c:numCache>
                <c:formatCode>0</c:formatCode>
                <c:ptCount val="225"/>
                <c:pt idx="0" formatCode="General">
                  <c:v>148</c:v>
                </c:pt>
                <c:pt idx="1">
                  <c:v>118</c:v>
                </c:pt>
                <c:pt idx="2">
                  <c:v>118</c:v>
                </c:pt>
                <c:pt idx="3">
                  <c:v>138</c:v>
                </c:pt>
                <c:pt idx="4">
                  <c:v>138</c:v>
                </c:pt>
                <c:pt idx="5">
                  <c:v>108</c:v>
                </c:pt>
                <c:pt idx="6">
                  <c:v>108</c:v>
                </c:pt>
                <c:pt idx="7">
                  <c:v>130</c:v>
                </c:pt>
                <c:pt idx="8">
                  <c:v>130</c:v>
                </c:pt>
                <c:pt idx="9">
                  <c:v>100</c:v>
                </c:pt>
                <c:pt idx="10">
                  <c:v>100</c:v>
                </c:pt>
                <c:pt idx="11">
                  <c:v>122</c:v>
                </c:pt>
                <c:pt idx="12">
                  <c:v>122</c:v>
                </c:pt>
                <c:pt idx="13">
                  <c:v>92</c:v>
                </c:pt>
                <c:pt idx="14">
                  <c:v>92</c:v>
                </c:pt>
                <c:pt idx="15">
                  <c:v>116</c:v>
                </c:pt>
                <c:pt idx="16">
                  <c:v>116</c:v>
                </c:pt>
                <c:pt idx="17">
                  <c:v>86</c:v>
                </c:pt>
                <c:pt idx="18">
                  <c:v>86</c:v>
                </c:pt>
                <c:pt idx="19">
                  <c:v>110</c:v>
                </c:pt>
                <c:pt idx="20">
                  <c:v>110</c:v>
                </c:pt>
                <c:pt idx="21">
                  <c:v>80</c:v>
                </c:pt>
                <c:pt idx="22">
                  <c:v>80</c:v>
                </c:pt>
                <c:pt idx="23">
                  <c:v>104</c:v>
                </c:pt>
                <c:pt idx="24">
                  <c:v>104</c:v>
                </c:pt>
                <c:pt idx="25">
                  <c:v>74</c:v>
                </c:pt>
                <c:pt idx="26">
                  <c:v>74</c:v>
                </c:pt>
                <c:pt idx="27">
                  <c:v>98</c:v>
                </c:pt>
                <c:pt idx="28">
                  <c:v>98</c:v>
                </c:pt>
                <c:pt idx="29">
                  <c:v>68</c:v>
                </c:pt>
                <c:pt idx="30">
                  <c:v>68</c:v>
                </c:pt>
                <c:pt idx="31">
                  <c:v>92</c:v>
                </c:pt>
                <c:pt idx="32">
                  <c:v>92</c:v>
                </c:pt>
                <c:pt idx="33">
                  <c:v>62</c:v>
                </c:pt>
                <c:pt idx="34">
                  <c:v>62</c:v>
                </c:pt>
                <c:pt idx="35">
                  <c:v>86</c:v>
                </c:pt>
                <c:pt idx="36">
                  <c:v>86</c:v>
                </c:pt>
                <c:pt idx="37">
                  <c:v>56</c:v>
                </c:pt>
                <c:pt idx="38">
                  <c:v>56</c:v>
                </c:pt>
                <c:pt idx="39">
                  <c:v>82</c:v>
                </c:pt>
                <c:pt idx="40">
                  <c:v>82</c:v>
                </c:pt>
                <c:pt idx="41">
                  <c:v>52</c:v>
                </c:pt>
                <c:pt idx="42">
                  <c:v>52</c:v>
                </c:pt>
                <c:pt idx="43">
                  <c:v>76</c:v>
                </c:pt>
                <c:pt idx="44">
                  <c:v>76</c:v>
                </c:pt>
                <c:pt idx="45">
                  <c:v>46</c:v>
                </c:pt>
                <c:pt idx="46">
                  <c:v>46</c:v>
                </c:pt>
                <c:pt idx="47">
                  <c:v>72</c:v>
                </c:pt>
                <c:pt idx="48">
                  <c:v>72</c:v>
                </c:pt>
                <c:pt idx="49">
                  <c:v>42</c:v>
                </c:pt>
                <c:pt idx="50">
                  <c:v>42</c:v>
                </c:pt>
                <c:pt idx="51">
                  <c:v>68</c:v>
                </c:pt>
                <c:pt idx="52">
                  <c:v>68</c:v>
                </c:pt>
                <c:pt idx="53">
                  <c:v>38</c:v>
                </c:pt>
                <c:pt idx="54">
                  <c:v>38</c:v>
                </c:pt>
                <c:pt idx="55">
                  <c:v>66</c:v>
                </c:pt>
                <c:pt idx="56">
                  <c:v>66</c:v>
                </c:pt>
                <c:pt idx="57">
                  <c:v>36</c:v>
                </c:pt>
                <c:pt idx="58">
                  <c:v>36</c:v>
                </c:pt>
                <c:pt idx="59">
                  <c:v>64</c:v>
                </c:pt>
                <c:pt idx="60">
                  <c:v>64</c:v>
                </c:pt>
                <c:pt idx="61">
                  <c:v>34</c:v>
                </c:pt>
                <c:pt idx="62">
                  <c:v>34</c:v>
                </c:pt>
                <c:pt idx="63">
                  <c:v>62</c:v>
                </c:pt>
                <c:pt idx="64">
                  <c:v>62</c:v>
                </c:pt>
                <c:pt idx="65">
                  <c:v>32</c:v>
                </c:pt>
                <c:pt idx="66">
                  <c:v>32</c:v>
                </c:pt>
                <c:pt idx="67">
                  <c:v>60</c:v>
                </c:pt>
                <c:pt idx="68">
                  <c:v>60</c:v>
                </c:pt>
                <c:pt idx="69">
                  <c:v>30</c:v>
                </c:pt>
                <c:pt idx="70">
                  <c:v>30</c:v>
                </c:pt>
                <c:pt idx="71">
                  <c:v>58</c:v>
                </c:pt>
                <c:pt idx="72">
                  <c:v>58</c:v>
                </c:pt>
                <c:pt idx="73">
                  <c:v>28</c:v>
                </c:pt>
                <c:pt idx="74">
                  <c:v>28</c:v>
                </c:pt>
                <c:pt idx="75">
                  <c:v>58</c:v>
                </c:pt>
                <c:pt idx="76">
                  <c:v>58</c:v>
                </c:pt>
                <c:pt idx="77">
                  <c:v>28</c:v>
                </c:pt>
                <c:pt idx="78">
                  <c:v>28</c:v>
                </c:pt>
                <c:pt idx="79">
                  <c:v>58</c:v>
                </c:pt>
                <c:pt idx="80">
                  <c:v>58</c:v>
                </c:pt>
                <c:pt idx="81">
                  <c:v>28</c:v>
                </c:pt>
                <c:pt idx="82">
                  <c:v>28</c:v>
                </c:pt>
                <c:pt idx="83">
                  <c:v>58</c:v>
                </c:pt>
                <c:pt idx="84">
                  <c:v>58</c:v>
                </c:pt>
                <c:pt idx="85">
                  <c:v>28</c:v>
                </c:pt>
                <c:pt idx="86">
                  <c:v>28</c:v>
                </c:pt>
                <c:pt idx="87">
                  <c:v>58</c:v>
                </c:pt>
                <c:pt idx="88">
                  <c:v>58</c:v>
                </c:pt>
                <c:pt idx="89">
                  <c:v>28</c:v>
                </c:pt>
                <c:pt idx="90">
                  <c:v>28</c:v>
                </c:pt>
                <c:pt idx="91">
                  <c:v>58</c:v>
                </c:pt>
                <c:pt idx="92">
                  <c:v>58</c:v>
                </c:pt>
                <c:pt idx="93">
                  <c:v>28</c:v>
                </c:pt>
                <c:pt idx="94">
                  <c:v>28</c:v>
                </c:pt>
                <c:pt idx="95">
                  <c:v>58</c:v>
                </c:pt>
                <c:pt idx="96">
                  <c:v>58</c:v>
                </c:pt>
                <c:pt idx="97">
                  <c:v>28</c:v>
                </c:pt>
                <c:pt idx="98">
                  <c:v>28</c:v>
                </c:pt>
                <c:pt idx="99">
                  <c:v>58</c:v>
                </c:pt>
                <c:pt idx="100">
                  <c:v>58</c:v>
                </c:pt>
                <c:pt idx="101">
                  <c:v>28</c:v>
                </c:pt>
                <c:pt idx="102">
                  <c:v>28</c:v>
                </c:pt>
                <c:pt idx="103">
                  <c:v>58</c:v>
                </c:pt>
                <c:pt idx="104">
                  <c:v>58</c:v>
                </c:pt>
                <c:pt idx="105">
                  <c:v>28</c:v>
                </c:pt>
                <c:pt idx="106">
                  <c:v>28</c:v>
                </c:pt>
                <c:pt idx="107">
                  <c:v>58</c:v>
                </c:pt>
                <c:pt idx="108">
                  <c:v>58</c:v>
                </c:pt>
                <c:pt idx="109">
                  <c:v>28</c:v>
                </c:pt>
                <c:pt idx="110">
                  <c:v>28</c:v>
                </c:pt>
                <c:pt idx="111">
                  <c:v>58</c:v>
                </c:pt>
                <c:pt idx="112">
                  <c:v>58</c:v>
                </c:pt>
                <c:pt idx="113">
                  <c:v>28</c:v>
                </c:pt>
                <c:pt idx="114">
                  <c:v>28</c:v>
                </c:pt>
                <c:pt idx="115">
                  <c:v>58</c:v>
                </c:pt>
                <c:pt idx="116">
                  <c:v>58</c:v>
                </c:pt>
                <c:pt idx="117">
                  <c:v>28</c:v>
                </c:pt>
                <c:pt idx="118">
                  <c:v>28</c:v>
                </c:pt>
                <c:pt idx="119">
                  <c:v>58</c:v>
                </c:pt>
                <c:pt idx="120">
                  <c:v>58</c:v>
                </c:pt>
                <c:pt idx="121">
                  <c:v>28</c:v>
                </c:pt>
                <c:pt idx="122">
                  <c:v>28</c:v>
                </c:pt>
                <c:pt idx="123">
                  <c:v>58</c:v>
                </c:pt>
                <c:pt idx="124">
                  <c:v>58</c:v>
                </c:pt>
                <c:pt idx="125">
                  <c:v>28</c:v>
                </c:pt>
                <c:pt idx="126">
                  <c:v>28</c:v>
                </c:pt>
                <c:pt idx="127">
                  <c:v>58</c:v>
                </c:pt>
                <c:pt idx="128">
                  <c:v>58</c:v>
                </c:pt>
                <c:pt idx="129">
                  <c:v>28</c:v>
                </c:pt>
                <c:pt idx="130">
                  <c:v>28</c:v>
                </c:pt>
                <c:pt idx="131">
                  <c:v>58</c:v>
                </c:pt>
                <c:pt idx="132">
                  <c:v>58</c:v>
                </c:pt>
                <c:pt idx="133">
                  <c:v>28</c:v>
                </c:pt>
                <c:pt idx="134">
                  <c:v>28</c:v>
                </c:pt>
                <c:pt idx="135">
                  <c:v>58</c:v>
                </c:pt>
                <c:pt idx="136">
                  <c:v>58</c:v>
                </c:pt>
                <c:pt idx="137">
                  <c:v>28</c:v>
                </c:pt>
                <c:pt idx="138">
                  <c:v>28</c:v>
                </c:pt>
                <c:pt idx="139">
                  <c:v>58</c:v>
                </c:pt>
                <c:pt idx="140">
                  <c:v>58</c:v>
                </c:pt>
                <c:pt idx="141">
                  <c:v>28</c:v>
                </c:pt>
                <c:pt idx="142">
                  <c:v>28</c:v>
                </c:pt>
                <c:pt idx="143">
                  <c:v>58</c:v>
                </c:pt>
                <c:pt idx="144">
                  <c:v>58</c:v>
                </c:pt>
                <c:pt idx="145">
                  <c:v>28</c:v>
                </c:pt>
                <c:pt idx="146">
                  <c:v>28</c:v>
                </c:pt>
                <c:pt idx="147">
                  <c:v>58</c:v>
                </c:pt>
                <c:pt idx="148">
                  <c:v>58</c:v>
                </c:pt>
                <c:pt idx="149">
                  <c:v>28</c:v>
                </c:pt>
                <c:pt idx="150">
                  <c:v>28</c:v>
                </c:pt>
                <c:pt idx="151">
                  <c:v>58</c:v>
                </c:pt>
                <c:pt idx="152">
                  <c:v>58</c:v>
                </c:pt>
                <c:pt idx="153">
                  <c:v>28</c:v>
                </c:pt>
                <c:pt idx="154">
                  <c:v>28</c:v>
                </c:pt>
                <c:pt idx="155">
                  <c:v>58</c:v>
                </c:pt>
                <c:pt idx="156">
                  <c:v>58</c:v>
                </c:pt>
                <c:pt idx="157">
                  <c:v>28</c:v>
                </c:pt>
                <c:pt idx="158">
                  <c:v>28</c:v>
                </c:pt>
                <c:pt idx="159">
                  <c:v>58</c:v>
                </c:pt>
                <c:pt idx="160">
                  <c:v>58</c:v>
                </c:pt>
                <c:pt idx="161">
                  <c:v>28</c:v>
                </c:pt>
                <c:pt idx="162">
                  <c:v>28</c:v>
                </c:pt>
                <c:pt idx="163">
                  <c:v>58</c:v>
                </c:pt>
                <c:pt idx="164">
                  <c:v>58</c:v>
                </c:pt>
                <c:pt idx="165">
                  <c:v>28</c:v>
                </c:pt>
                <c:pt idx="166">
                  <c:v>28</c:v>
                </c:pt>
                <c:pt idx="167">
                  <c:v>58</c:v>
                </c:pt>
                <c:pt idx="168">
                  <c:v>58</c:v>
                </c:pt>
                <c:pt idx="169">
                  <c:v>28</c:v>
                </c:pt>
                <c:pt idx="170">
                  <c:v>28</c:v>
                </c:pt>
                <c:pt idx="171">
                  <c:v>58</c:v>
                </c:pt>
                <c:pt idx="172">
                  <c:v>58</c:v>
                </c:pt>
                <c:pt idx="173">
                  <c:v>28</c:v>
                </c:pt>
                <c:pt idx="174">
                  <c:v>28</c:v>
                </c:pt>
                <c:pt idx="175">
                  <c:v>58</c:v>
                </c:pt>
                <c:pt idx="176">
                  <c:v>58</c:v>
                </c:pt>
                <c:pt idx="177">
                  <c:v>28</c:v>
                </c:pt>
                <c:pt idx="178">
                  <c:v>28</c:v>
                </c:pt>
                <c:pt idx="179">
                  <c:v>58</c:v>
                </c:pt>
                <c:pt idx="180">
                  <c:v>58</c:v>
                </c:pt>
                <c:pt idx="181">
                  <c:v>28</c:v>
                </c:pt>
                <c:pt idx="182">
                  <c:v>28</c:v>
                </c:pt>
                <c:pt idx="183">
                  <c:v>58</c:v>
                </c:pt>
                <c:pt idx="184">
                  <c:v>58</c:v>
                </c:pt>
                <c:pt idx="185">
                  <c:v>28</c:v>
                </c:pt>
                <c:pt idx="186">
                  <c:v>28</c:v>
                </c:pt>
                <c:pt idx="187">
                  <c:v>58</c:v>
                </c:pt>
                <c:pt idx="188">
                  <c:v>58</c:v>
                </c:pt>
                <c:pt idx="189">
                  <c:v>28</c:v>
                </c:pt>
                <c:pt idx="190">
                  <c:v>28</c:v>
                </c:pt>
                <c:pt idx="191">
                  <c:v>58</c:v>
                </c:pt>
                <c:pt idx="192">
                  <c:v>58</c:v>
                </c:pt>
                <c:pt idx="193">
                  <c:v>28</c:v>
                </c:pt>
                <c:pt idx="194">
                  <c:v>28</c:v>
                </c:pt>
                <c:pt idx="195">
                  <c:v>58</c:v>
                </c:pt>
                <c:pt idx="196">
                  <c:v>58</c:v>
                </c:pt>
                <c:pt idx="197">
                  <c:v>28</c:v>
                </c:pt>
                <c:pt idx="198">
                  <c:v>28</c:v>
                </c:pt>
                <c:pt idx="199">
                  <c:v>58</c:v>
                </c:pt>
                <c:pt idx="200">
                  <c:v>58</c:v>
                </c:pt>
                <c:pt idx="201">
                  <c:v>28</c:v>
                </c:pt>
                <c:pt idx="202">
                  <c:v>28</c:v>
                </c:pt>
                <c:pt idx="203">
                  <c:v>58</c:v>
                </c:pt>
                <c:pt idx="204">
                  <c:v>58</c:v>
                </c:pt>
                <c:pt idx="205">
                  <c:v>28</c:v>
                </c:pt>
                <c:pt idx="206">
                  <c:v>28</c:v>
                </c:pt>
                <c:pt idx="207">
                  <c:v>58</c:v>
                </c:pt>
                <c:pt idx="208">
                  <c:v>58</c:v>
                </c:pt>
                <c:pt idx="209">
                  <c:v>28</c:v>
                </c:pt>
                <c:pt idx="210">
                  <c:v>28</c:v>
                </c:pt>
                <c:pt idx="211">
                  <c:v>58</c:v>
                </c:pt>
                <c:pt idx="212">
                  <c:v>58</c:v>
                </c:pt>
                <c:pt idx="213">
                  <c:v>28</c:v>
                </c:pt>
                <c:pt idx="214">
                  <c:v>28</c:v>
                </c:pt>
                <c:pt idx="215">
                  <c:v>58</c:v>
                </c:pt>
                <c:pt idx="216">
                  <c:v>58</c:v>
                </c:pt>
                <c:pt idx="217">
                  <c:v>28</c:v>
                </c:pt>
                <c:pt idx="218">
                  <c:v>28</c:v>
                </c:pt>
                <c:pt idx="219">
                  <c:v>58</c:v>
                </c:pt>
                <c:pt idx="220">
                  <c:v>58</c:v>
                </c:pt>
                <c:pt idx="221">
                  <c:v>28</c:v>
                </c:pt>
                <c:pt idx="222">
                  <c:v>28</c:v>
                </c:pt>
                <c:pt idx="223">
                  <c:v>58</c:v>
                </c:pt>
                <c:pt idx="224">
                  <c:v>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27-4F40-AE7C-20EFA6FD9BC7}"/>
            </c:ext>
          </c:extLst>
        </c:ser>
        <c:ser>
          <c:idx val="2"/>
          <c:order val="1"/>
          <c:tx>
            <c:v>30 Ah reserve treeshold</c:v>
          </c:tx>
          <c:spPr>
            <a:ln w="28575"/>
          </c:spPr>
          <c:marker>
            <c:symbol val="none"/>
          </c:marker>
          <c:dLbls>
            <c:delete val="1"/>
          </c:dLbls>
          <c:xVal>
            <c:numRef>
              <c:f>Calculation!$Z$112:$Z$136</c:f>
              <c:numCache>
                <c:formatCode>0.00</c:formatCode>
                <c:ptCount val="2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</c:numCache>
            </c:numRef>
          </c:xVal>
          <c:yVal>
            <c:numRef>
              <c:f>Calculation!$Y$112:$Y$136</c:f>
              <c:numCache>
                <c:formatCode>General</c:formatCode>
                <c:ptCount val="25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27-4F40-AE7C-20EFA6FD9BC7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52252160"/>
        <c:axId val="261677056"/>
      </c:scatterChart>
      <c:valAx>
        <c:axId val="252252160"/>
        <c:scaling>
          <c:orientation val="minMax"/>
          <c:max val="24"/>
          <c:min val="0"/>
        </c:scaling>
        <c:delete val="0"/>
        <c:axPos val="b"/>
        <c:majorGridlines>
          <c:spPr>
            <a:ln w="19050" cmpd="dbl"/>
          </c:spPr>
        </c:majorGridlines>
        <c:minorGridlines>
          <c:spPr>
            <a:ln w="12700"/>
          </c:spPr>
        </c:min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it-IT" sz="1600"/>
                  <a:t>Time</a:t>
                </a:r>
                <a:r>
                  <a:rPr lang="it-IT" sz="1600" baseline="0"/>
                  <a:t> </a:t>
                </a:r>
                <a:r>
                  <a:rPr lang="it-IT" sz="1600"/>
                  <a:t>/ h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it-IT"/>
          </a:p>
        </c:txPr>
        <c:crossAx val="261677056"/>
        <c:crosses val="autoZero"/>
        <c:crossBetween val="midCat"/>
        <c:majorUnit val="1"/>
        <c:minorUnit val="0.25"/>
      </c:valAx>
      <c:valAx>
        <c:axId val="261677056"/>
        <c:scaling>
          <c:orientation val="minMax"/>
          <c:min val="0"/>
        </c:scaling>
        <c:delete val="0"/>
        <c:axPos val="l"/>
        <c:majorGridlines>
          <c:spPr>
            <a:ln w="19050"/>
          </c:spPr>
        </c:majorGridlines>
        <c:minorGridlines>
          <c:spPr>
            <a:ln w="12700"/>
          </c:spPr>
        </c:min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it-IT" sz="1600"/>
                  <a:t>Battery</a:t>
                </a:r>
                <a:r>
                  <a:rPr lang="it-IT" sz="1600" baseline="0"/>
                  <a:t> capacity</a:t>
                </a:r>
                <a:r>
                  <a:rPr lang="it-IT" sz="1600"/>
                  <a:t> / Ah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it-IT"/>
          </a:p>
        </c:txPr>
        <c:crossAx val="252252160"/>
        <c:crosses val="autoZero"/>
        <c:crossBetween val="midCat"/>
        <c:majorUnit val="20"/>
        <c:minorUnit val="5"/>
      </c:valAx>
    </c:plotArea>
    <c:legend>
      <c:legendPos val="b"/>
      <c:overlay val="0"/>
      <c:txPr>
        <a:bodyPr/>
        <a:lstStyle/>
        <a:p>
          <a:pPr>
            <a:defRPr sz="14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34775</xdr:colOff>
      <xdr:row>14</xdr:row>
      <xdr:rowOff>116415</xdr:rowOff>
    </xdr:from>
    <xdr:to>
      <xdr:col>21</xdr:col>
      <xdr:colOff>585107</xdr:colOff>
      <xdr:row>54</xdr:row>
      <xdr:rowOff>7560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56</xdr:col>
      <xdr:colOff>0</xdr:colOff>
      <xdr:row>250</xdr:row>
      <xdr:rowOff>62394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C78FB63-62B2-4F8C-BB8E-E798CBAC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244750" cy="476873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G2:J68" totalsRowShown="0" headerRowDxfId="53" dataDxfId="52" headerRowCellStyle="Normale 2" dataCellStyle="Normale 2">
  <autoFilter ref="G2:J68" xr:uid="{00000000-0009-0000-0100-000001000000}"/>
  <tableColumns count="4">
    <tableColumn id="1" xr3:uid="{00000000-0010-0000-0000-000001000000}" name="Kg/min" dataDxfId="51" dataCellStyle="Normale 2"/>
    <tableColumn id="2" xr3:uid="{00000000-0010-0000-0000-000002000000}" name="CATEN" dataDxfId="50" dataCellStyle="Normale 2"/>
    <tableColumn id="3" xr3:uid="{00000000-0010-0000-0000-000003000000}" name="FRANT" dataDxfId="49" dataCellStyle="Normale 2">
      <calculatedColumnFormula>(13.3+14.9)/2</calculatedColumnFormula>
    </tableColumn>
    <tableColumn id="4" xr3:uid="{00000000-0010-0000-0000-000004000000}" name="UMIDI" dataDxfId="48" dataCellStyle="Normale 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2" displayName="Tabella2" ref="L2:W68" totalsRowShown="0" headerRowDxfId="47" dataDxfId="46" headerRowCellStyle="Normale 2" dataCellStyle="Normale 2">
  <autoFilter ref="L2:W68" xr:uid="{00000000-0009-0000-0100-000002000000}"/>
  <tableColumns count="12">
    <tableColumn id="1" xr3:uid="{00000000-0010-0000-0100-000001000000}" name="Kg/min" dataDxfId="45" dataCellStyle="Normale 2"/>
    <tableColumn id="2" xr3:uid="{00000000-0010-0000-0100-000002000000}" name="2" dataDxfId="44" dataCellStyle="Normale 2"/>
    <tableColumn id="3" xr3:uid="{00000000-0010-0000-0100-000003000000}" name="3" dataDxfId="43" dataCellStyle="Normale 2"/>
    <tableColumn id="4" xr3:uid="{00000000-0010-0000-0100-000004000000}" name="4" dataDxfId="42" dataCellStyle="Normale 2"/>
    <tableColumn id="5" xr3:uid="{00000000-0010-0000-0100-000005000000}" name="5" dataDxfId="41" dataCellStyle="Normale 2"/>
    <tableColumn id="6" xr3:uid="{00000000-0010-0000-0100-000006000000}" name="6" dataDxfId="40" dataCellStyle="Normale 2"/>
    <tableColumn id="7" xr3:uid="{00000000-0010-0000-0100-000007000000}" name="7" dataDxfId="39" dataCellStyle="Normale 2"/>
    <tableColumn id="8" xr3:uid="{00000000-0010-0000-0100-000008000000}" name="8" dataDxfId="38" dataCellStyle="Normale 2"/>
    <tableColumn id="9" xr3:uid="{00000000-0010-0000-0100-000009000000}" name="9" dataDxfId="37" dataCellStyle="Normale 2"/>
    <tableColumn id="10" xr3:uid="{00000000-0010-0000-0100-00000A000000}" name="10" dataDxfId="36" dataCellStyle="Normale 2"/>
    <tableColumn id="11" xr3:uid="{00000000-0010-0000-0100-00000B000000}" name="11" dataDxfId="35" dataCellStyle="Normale 2"/>
    <tableColumn id="12" xr3:uid="{00000000-0010-0000-0100-00000C000000}" name="12" dataDxfId="34" dataCellStyle="Normale 2">
      <calculatedColumnFormula>(46+60+36.9+46.4)/4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la4" displayName="Tabella4" ref="Y2:AA86" totalsRowShown="0" headerRowDxfId="33" dataDxfId="32">
  <autoFilter ref="Y2:AA86" xr:uid="{00000000-0009-0000-0100-000004000000}"/>
  <tableColumns count="3">
    <tableColumn id="1" xr3:uid="{00000000-0010-0000-0200-000001000000}" name="Tempo di ric, min" dataDxfId="31" dataCellStyle="Normale 2"/>
    <tableColumn id="2" xr3:uid="{00000000-0010-0000-0200-000002000000}" name="Capacità Ah" dataDxfId="30"/>
    <tableColumn id="3" xr3:uid="{00000000-0010-0000-0200-000003000000}" name="X calcolo" dataDxfId="29" dataCellStyle="Normale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la5" displayName="Tabella5" ref="AF2:AM107" totalsRowShown="0" headerRowDxfId="28" dataDxfId="27" dataCellStyle="Normale 2">
  <autoFilter ref="AF2:AM107" xr:uid="{00000000-0009-0000-0100-000005000000}"/>
  <tableColumns count="8">
    <tableColumn id="2" xr3:uid="{00000000-0010-0000-0300-000002000000}" name="Capacità Ah" dataDxfId="26" dataCellStyle="Normale 2"/>
    <tableColumn id="4" xr3:uid="{00000000-0010-0000-0300-000004000000}" name="Scarica Ah" dataDxfId="25" dataCellStyle="Normale 2"/>
    <tableColumn id="9" xr3:uid="{00000000-0010-0000-0300-000009000000}" name="Pausa 1" dataDxfId="24" dataCellStyle="Normale 2"/>
    <tableColumn id="6" xr3:uid="{00000000-0010-0000-0300-000006000000}" name="Ricarica" dataDxfId="23" dataCellStyle="Normale 2"/>
    <tableColumn id="1" xr3:uid="{00000000-0010-0000-0300-000001000000}" name="X calcolo2" dataDxfId="22" dataCellStyle="Normale 2"/>
    <tableColumn id="8" xr3:uid="{00000000-0010-0000-0300-000008000000}" name="Pausa 2" dataDxfId="21" dataCellStyle="Normale 2"/>
    <tableColumn id="7" xr3:uid="{00000000-0010-0000-0300-000007000000}" name="Min" dataDxfId="20" dataCellStyle="Normale 2"/>
    <tableColumn id="5" xr3:uid="{00000000-0010-0000-0300-000005000000}" name="h" dataDxfId="19" dataCellStyle="Normale 2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la44" displayName="Tabella44" ref="AC2:AD86" totalsRowShown="0" headerRowDxfId="18" dataDxfId="17">
  <autoFilter ref="AC2:AD86" xr:uid="{00000000-0009-0000-0100-000003000000}"/>
  <tableColumns count="2">
    <tableColumn id="1" xr3:uid="{00000000-0010-0000-0400-000001000000}" name="X calcolo" dataDxfId="16" dataCellStyle="Normale 2"/>
    <tableColumn id="3" xr3:uid="{00000000-0010-0000-0400-000003000000}" name="Tempo di ric, min" dataDxfId="15" dataCellStyle="Normale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la7" displayName="Tabella7" ref="AS2:AW107" totalsRowShown="0" headerRowDxfId="14" dataDxfId="12" headerRowBorderDxfId="13" tableBorderDxfId="11" headerRowCellStyle="Normale 2">
  <autoFilter ref="AS2:AW107" xr:uid="{00000000-0009-0000-0100-000007000000}"/>
  <tableColumns count="5">
    <tableColumn id="1" xr3:uid="{00000000-0010-0000-0500-000001000000}" name="Capacità Ah" dataDxfId="10"/>
    <tableColumn id="2" xr3:uid="{00000000-0010-0000-0500-000002000000}" name="Scarica Ah" dataDxfId="9"/>
    <tableColumn id="3" xr3:uid="{00000000-0010-0000-0500-000003000000}" name="Pausa 1" dataDxfId="8"/>
    <tableColumn id="7" xr3:uid="{00000000-0010-0000-0500-000007000000}" name="Min" dataDxfId="7"/>
    <tableColumn id="8" xr3:uid="{00000000-0010-0000-0500-000008000000}" name="h" dataDxfId="6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ella114" displayName="Tabella114" ref="G72:J138" totalsRowShown="0" headerRowDxfId="5" dataDxfId="4" headerRowCellStyle="Normale 2" dataCellStyle="Normale 2">
  <autoFilter ref="G72:J138" xr:uid="{00000000-0009-0000-0100-00000D000000}"/>
  <tableColumns count="4">
    <tableColumn id="1" xr3:uid="{00000000-0010-0000-0600-000001000000}" name="Kg/min" dataDxfId="3" dataCellStyle="Normale 2"/>
    <tableColumn id="2" xr3:uid="{00000000-0010-0000-0600-000002000000}" name="COCLEA" dataDxfId="2" dataCellStyle="Normale 2"/>
    <tableColumn id="3" xr3:uid="{00000000-0010-0000-0600-000003000000}" name="FRANT" dataDxfId="1" dataCellStyle="Normale 2"/>
    <tableColumn id="4" xr3:uid="{00000000-0010-0000-0600-000004000000}" name="UMIDI" dataDxfId="0" dataCellStyle="Normale 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B1:O58"/>
  <sheetViews>
    <sheetView tabSelected="1" zoomScale="70" zoomScaleNormal="70" zoomScalePageLayoutView="115" workbookViewId="0">
      <selection activeCell="D3" sqref="D3"/>
    </sheetView>
  </sheetViews>
  <sheetFormatPr defaultRowHeight="14.25" x14ac:dyDescent="0.2"/>
  <cols>
    <col min="2" max="2" width="17.5" style="1" bestFit="1" customWidth="1"/>
    <col min="3" max="3" width="18.625" style="2" customWidth="1"/>
    <col min="4" max="4" width="9.875" style="2" bestFit="1" customWidth="1"/>
    <col min="5" max="5" width="13.125" style="2" bestFit="1" customWidth="1"/>
    <col min="9" max="9" width="20.125" style="4" bestFit="1" customWidth="1"/>
    <col min="10" max="10" width="18.625" style="4" customWidth="1"/>
    <col min="11" max="11" width="13.125" style="4" customWidth="1"/>
  </cols>
  <sheetData>
    <row r="1" spans="2:15" s="163" customFormat="1" ht="10.5" customHeight="1" thickBot="1" x14ac:dyDescent="0.3">
      <c r="B1" s="161"/>
      <c r="C1" s="162"/>
      <c r="D1" s="162"/>
      <c r="E1" s="162"/>
      <c r="I1" s="164"/>
      <c r="J1" s="164"/>
      <c r="K1" s="164"/>
    </row>
    <row r="2" spans="2:15" s="133" customFormat="1" ht="19.5" customHeight="1" x14ac:dyDescent="0.2">
      <c r="B2" s="134"/>
      <c r="C2" s="135" t="s">
        <v>59</v>
      </c>
      <c r="D2" s="135" t="s">
        <v>46</v>
      </c>
      <c r="E2" s="136" t="s">
        <v>60</v>
      </c>
      <c r="I2" s="137"/>
      <c r="J2" s="138" t="s">
        <v>46</v>
      </c>
      <c r="K2" s="138" t="s">
        <v>60</v>
      </c>
    </row>
    <row r="3" spans="2:15" s="133" customFormat="1" ht="19.5" customHeight="1" x14ac:dyDescent="0.2">
      <c r="B3" s="139" t="s">
        <v>61</v>
      </c>
      <c r="C3" s="138" t="s">
        <v>76</v>
      </c>
      <c r="D3" s="140">
        <v>15</v>
      </c>
      <c r="E3" s="141" t="s">
        <v>0</v>
      </c>
      <c r="I3" s="137" t="s">
        <v>70</v>
      </c>
      <c r="J3" s="142">
        <f>IF($C$10="Lithium",MAX(Calculation!AN3:AN227),IF($C$10="litio+",MAX(Calculation!AN3:AN227),MAX(Calculation!AX3:AX227)))</f>
        <v>140</v>
      </c>
      <c r="K3" s="137" t="s">
        <v>44</v>
      </c>
    </row>
    <row r="4" spans="2:15" s="133" customFormat="1" ht="19.5" customHeight="1" x14ac:dyDescent="0.2">
      <c r="B4" s="139" t="s">
        <v>62</v>
      </c>
      <c r="C4" s="143" t="s">
        <v>75</v>
      </c>
      <c r="D4" s="140">
        <v>6</v>
      </c>
      <c r="E4" s="141" t="s">
        <v>1</v>
      </c>
      <c r="I4" s="137" t="s">
        <v>73</v>
      </c>
      <c r="J4" s="144">
        <f>J3/((D13+Calculation!C13)/60)</f>
        <v>56</v>
      </c>
      <c r="K4" s="137" t="s">
        <v>56</v>
      </c>
    </row>
    <row r="5" spans="2:15" s="133" customFormat="1" ht="19.5" customHeight="1" x14ac:dyDescent="0.2">
      <c r="B5" s="139" t="s">
        <v>63</v>
      </c>
      <c r="C5" s="138" t="s">
        <v>74</v>
      </c>
      <c r="D5" s="140">
        <v>40</v>
      </c>
      <c r="E5" s="141" t="s">
        <v>57</v>
      </c>
      <c r="I5" s="137" t="s">
        <v>71</v>
      </c>
      <c r="J5" s="145">
        <f>D5/3.6*Calculation!C13*60/1000</f>
        <v>80</v>
      </c>
      <c r="K5" s="137" t="s">
        <v>52</v>
      </c>
    </row>
    <row r="6" spans="2:15" s="133" customFormat="1" ht="19.5" customHeight="1" thickBot="1" x14ac:dyDescent="0.25">
      <c r="B6" s="146" t="s">
        <v>64</v>
      </c>
      <c r="C6" s="147" t="s">
        <v>79</v>
      </c>
      <c r="D6" s="148">
        <f>IF(Simulation!C6="No",0,30)</f>
        <v>0</v>
      </c>
      <c r="E6" s="149" t="s">
        <v>55</v>
      </c>
      <c r="I6" s="137" t="s">
        <v>72</v>
      </c>
      <c r="J6" s="145">
        <f>J4*J5</f>
        <v>4480</v>
      </c>
      <c r="K6" s="137" t="s">
        <v>52</v>
      </c>
    </row>
    <row r="7" spans="2:15" s="133" customFormat="1" ht="19.5" customHeight="1" thickBot="1" x14ac:dyDescent="0.25">
      <c r="B7" s="150"/>
      <c r="C7" s="151"/>
      <c r="D7" s="151"/>
      <c r="E7" s="151"/>
      <c r="I7" s="168" t="str">
        <f>IF(D8="PA",IF(Calculation!C3&gt;220,"Out of performance","Ok"),"Ok")</f>
        <v>Ok</v>
      </c>
      <c r="J7" s="168"/>
      <c r="K7" s="168"/>
      <c r="L7" s="168"/>
      <c r="M7" s="168"/>
      <c r="N7" s="168"/>
      <c r="O7" s="168"/>
    </row>
    <row r="8" spans="2:15" s="133" customFormat="1" ht="19.5" customHeight="1" x14ac:dyDescent="0.2">
      <c r="B8" s="134" t="s">
        <v>65</v>
      </c>
      <c r="C8" s="135" t="s">
        <v>77</v>
      </c>
      <c r="D8" s="152" t="s">
        <v>83</v>
      </c>
      <c r="E8" s="136"/>
      <c r="I8" s="168"/>
      <c r="J8" s="168"/>
      <c r="K8" s="168"/>
      <c r="L8" s="168"/>
      <c r="M8" s="168"/>
      <c r="N8" s="168"/>
      <c r="O8" s="168"/>
    </row>
    <row r="9" spans="2:15" s="133" customFormat="1" ht="19.5" customHeight="1" x14ac:dyDescent="0.2">
      <c r="B9" s="153" t="s">
        <v>66</v>
      </c>
      <c r="C9" s="154" t="s">
        <v>45</v>
      </c>
      <c r="D9" s="155">
        <v>6</v>
      </c>
      <c r="E9" s="156" t="s">
        <v>21</v>
      </c>
      <c r="I9" s="172" t="s">
        <v>80</v>
      </c>
      <c r="J9" s="173"/>
      <c r="K9" s="173"/>
    </row>
    <row r="10" spans="2:15" s="133" customFormat="1" ht="19.5" customHeight="1" x14ac:dyDescent="0.2">
      <c r="B10" s="139" t="s">
        <v>67</v>
      </c>
      <c r="C10" s="155" t="s">
        <v>78</v>
      </c>
      <c r="D10" s="154">
        <f>IF(C10="Lithium",148,140)</f>
        <v>148</v>
      </c>
      <c r="E10" s="141" t="s">
        <v>50</v>
      </c>
      <c r="I10" s="173"/>
      <c r="J10" s="173"/>
      <c r="K10" s="173"/>
    </row>
    <row r="11" spans="2:15" s="133" customFormat="1" ht="19.5" customHeight="1" x14ac:dyDescent="0.2">
      <c r="B11" s="169"/>
      <c r="C11" s="170"/>
      <c r="D11" s="170"/>
      <c r="E11" s="171"/>
      <c r="I11" s="173"/>
      <c r="J11" s="173"/>
      <c r="K11" s="173"/>
    </row>
    <row r="12" spans="2:15" s="133" customFormat="1" ht="19.5" customHeight="1" x14ac:dyDescent="0.2">
      <c r="B12" s="139" t="s">
        <v>68</v>
      </c>
      <c r="C12" s="157" t="s">
        <v>58</v>
      </c>
      <c r="D12" s="158">
        <f>IF(C12="No Charge",0,IF(C12="1/2",0.5,IF(C12="3/4",0.75,1)))</f>
        <v>0.5</v>
      </c>
      <c r="E12" s="141"/>
      <c r="I12" s="173"/>
      <c r="J12" s="173"/>
      <c r="K12" s="173"/>
    </row>
    <row r="13" spans="2:15" s="133" customFormat="1" ht="19.5" customHeight="1" thickBot="1" x14ac:dyDescent="0.25">
      <c r="B13" s="159" t="s">
        <v>69</v>
      </c>
      <c r="C13" s="148"/>
      <c r="D13" s="160">
        <v>30</v>
      </c>
      <c r="E13" s="149" t="s">
        <v>22</v>
      </c>
      <c r="I13" s="173"/>
      <c r="J13" s="173"/>
      <c r="K13" s="173"/>
    </row>
    <row r="58" spans="6:6" x14ac:dyDescent="0.2">
      <c r="F58" s="3"/>
    </row>
  </sheetData>
  <sheetProtection algorithmName="SHA-512" hashValue="EN5K/y78gE7Gz/NIgHlvDIIT0BGmmFINmTfStixUtD/W6/4NwpEORBJ8Lp2A/Z0kDs5sYSbEFIumLqN1OIXLAg==" saltValue="Nr2FabQvZLqC8wBCCz3vQA==" spinCount="100000" sheet="1" selectLockedCells="1"/>
  <dataConsolidate/>
  <mergeCells count="3">
    <mergeCell ref="I7:O8"/>
    <mergeCell ref="B11:E11"/>
    <mergeCell ref="I9:K13"/>
  </mergeCells>
  <dataValidations count="5">
    <dataValidation type="list" allowBlank="1" showInputMessage="1" showErrorMessage="1" sqref="C10" xr:uid="{00000000-0002-0000-0000-000000000000}">
      <formula1>"Lithium,"</formula1>
    </dataValidation>
    <dataValidation type="list" allowBlank="1" showInputMessage="1" showErrorMessage="1" sqref="C6" xr:uid="{00000000-0002-0000-0000-000001000000}">
      <formula1>"Yes,No,"</formula1>
    </dataValidation>
    <dataValidation type="list" allowBlank="1" showInputMessage="1" showErrorMessage="1" sqref="C12" xr:uid="{00000000-0002-0000-0000-000002000000}">
      <formula1>"No Charge,1/2,3/4,All time charge,"</formula1>
    </dataValidation>
    <dataValidation type="list" allowBlank="1" showInputMessage="1" showErrorMessage="1" sqref="D8" xr:uid="{00000000-0002-0000-0000-000003000000}">
      <formula1>"PH,PA,"</formula1>
    </dataValidation>
    <dataValidation type="list" allowBlank="1" showInputMessage="1" showErrorMessage="1" sqref="D9" xr:uid="{00000000-0002-0000-0000-000004000000}">
      <formula1>"4,5,6,7,8,9,"</formula1>
    </dataValidation>
  </dataValidations>
  <pageMargins left="0.25" right="0.25" top="0.75" bottom="0.75" header="0.3" footer="0.3"/>
  <pageSetup paperSize="8" scale="54" fitToHeight="0" orientation="landscape" r:id="rId1"/>
  <headerFooter>
    <oddHeader>&amp;R&amp;G</oddHeader>
  </headerFooter>
  <customProperties>
    <customPr name="LogoId" r:id="rId2"/>
  </customPropertie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AY228"/>
  <sheetViews>
    <sheetView view="pageBreakPreview" zoomScale="20" zoomScaleNormal="80" zoomScaleSheetLayoutView="20" workbookViewId="0">
      <selection sqref="A1:XFD1048576"/>
    </sheetView>
  </sheetViews>
  <sheetFormatPr defaultColWidth="10" defaultRowHeight="14.25" x14ac:dyDescent="0.2"/>
  <cols>
    <col min="1" max="1" width="20.125" style="5" customWidth="1"/>
    <col min="2" max="2" width="6.375" style="6" customWidth="1"/>
    <col min="3" max="4" width="10" style="6" customWidth="1"/>
    <col min="5" max="5" width="10.625" style="6" customWidth="1"/>
    <col min="6" max="6" width="14" style="6" customWidth="1"/>
    <col min="7" max="7" width="11.25" style="6" customWidth="1"/>
    <col min="8" max="8" width="11" style="21" customWidth="1"/>
    <col min="9" max="9" width="10.875" style="21" customWidth="1"/>
    <col min="10" max="10" width="10.125" style="21" customWidth="1"/>
    <col min="11" max="11" width="10" style="6" customWidth="1"/>
    <col min="12" max="12" width="11.25" style="6" customWidth="1"/>
    <col min="13" max="20" width="8.375" style="21" customWidth="1"/>
    <col min="21" max="21" width="9" style="21" customWidth="1"/>
    <col min="22" max="22" width="8.75" style="21" customWidth="1"/>
    <col min="23" max="23" width="9" style="21" customWidth="1"/>
    <col min="24" max="24" width="10" style="6" customWidth="1"/>
    <col min="25" max="25" width="20.625" style="6" customWidth="1"/>
    <col min="26" max="27" width="20.625" style="37" customWidth="1"/>
    <col min="28" max="28" width="10" style="95" customWidth="1"/>
    <col min="29" max="29" width="20.625" style="6" customWidth="1"/>
    <col min="30" max="30" width="20.625" style="37" customWidth="1"/>
    <col min="31" max="31" width="10" style="95" customWidth="1"/>
    <col min="32" max="32" width="25.125" style="95" customWidth="1"/>
    <col min="33" max="33" width="19.25" style="122" customWidth="1"/>
    <col min="34" max="34" width="20.5" style="123" customWidth="1"/>
    <col min="35" max="35" width="21.75" style="95" customWidth="1"/>
    <col min="36" max="36" width="23.875" style="95" customWidth="1"/>
    <col min="37" max="37" width="20.5" style="124" customWidth="1"/>
    <col min="38" max="38" width="16.125" style="6" customWidth="1"/>
    <col min="39" max="43" width="10" style="6" customWidth="1"/>
    <col min="44" max="44" width="10" style="125" customWidth="1"/>
    <col min="45" max="45" width="12.25" style="6" customWidth="1"/>
    <col min="46" max="46" width="11.875" style="6" customWidth="1"/>
    <col min="47" max="47" width="10" style="6" customWidth="1"/>
    <col min="48" max="48" width="10" style="37" customWidth="1"/>
    <col min="49" max="51" width="10" style="6" customWidth="1"/>
    <col min="52" max="16384" width="10" style="6"/>
  </cols>
  <sheetData>
    <row r="1" spans="1:51" ht="15.75" x14ac:dyDescent="0.2">
      <c r="G1" s="176" t="s">
        <v>26</v>
      </c>
      <c r="H1" s="176"/>
      <c r="I1" s="176"/>
      <c r="J1" s="176"/>
      <c r="L1" s="176" t="s">
        <v>28</v>
      </c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Y1" s="177" t="s">
        <v>34</v>
      </c>
      <c r="Z1" s="178"/>
      <c r="AA1" s="7"/>
      <c r="AB1" s="8"/>
      <c r="AC1" s="7" t="s">
        <v>34</v>
      </c>
      <c r="AD1" s="7"/>
      <c r="AE1" s="8"/>
      <c r="AF1" s="9"/>
      <c r="AG1" s="10"/>
      <c r="AH1" s="11"/>
      <c r="AI1" s="8"/>
      <c r="AJ1" s="8"/>
      <c r="AK1" s="12"/>
      <c r="AL1" s="13"/>
      <c r="AM1" s="14"/>
      <c r="AN1" s="15"/>
      <c r="AO1" s="14"/>
      <c r="AP1" s="14"/>
      <c r="AQ1" s="14"/>
      <c r="AR1" s="16"/>
      <c r="AS1" s="17"/>
      <c r="AT1" s="14"/>
      <c r="AU1" s="14"/>
      <c r="AV1" s="18"/>
      <c r="AW1" s="14"/>
      <c r="AX1" s="15"/>
      <c r="AY1" s="19"/>
    </row>
    <row r="2" spans="1:51" ht="15" x14ac:dyDescent="0.25">
      <c r="C2" s="6" t="s">
        <v>30</v>
      </c>
      <c r="D2" s="6" t="s">
        <v>31</v>
      </c>
      <c r="E2" s="165" t="s">
        <v>81</v>
      </c>
      <c r="F2" s="165" t="s">
        <v>82</v>
      </c>
      <c r="G2" s="19" t="s">
        <v>2</v>
      </c>
      <c r="H2" s="20" t="s">
        <v>15</v>
      </c>
      <c r="I2" s="20" t="s">
        <v>14</v>
      </c>
      <c r="J2" s="20" t="s">
        <v>16</v>
      </c>
      <c r="L2" s="19" t="s">
        <v>2</v>
      </c>
      <c r="M2" s="21" t="s">
        <v>3</v>
      </c>
      <c r="N2" s="21" t="s">
        <v>4</v>
      </c>
      <c r="O2" s="21" t="s">
        <v>5</v>
      </c>
      <c r="P2" s="21" t="s">
        <v>6</v>
      </c>
      <c r="Q2" s="21" t="s">
        <v>7</v>
      </c>
      <c r="R2" s="21" t="s">
        <v>8</v>
      </c>
      <c r="S2" s="21" t="s">
        <v>9</v>
      </c>
      <c r="T2" s="21" t="s">
        <v>10</v>
      </c>
      <c r="U2" s="21" t="s">
        <v>11</v>
      </c>
      <c r="V2" s="21" t="s">
        <v>12</v>
      </c>
      <c r="W2" s="21" t="s">
        <v>13</v>
      </c>
      <c r="Y2" s="22" t="s">
        <v>33</v>
      </c>
      <c r="Z2" s="23" t="s">
        <v>35</v>
      </c>
      <c r="AA2" s="23" t="s">
        <v>38</v>
      </c>
      <c r="AB2" s="24"/>
      <c r="AC2" s="23" t="s">
        <v>38</v>
      </c>
      <c r="AD2" s="25" t="s">
        <v>33</v>
      </c>
      <c r="AE2" s="24"/>
      <c r="AF2" s="26" t="s">
        <v>35</v>
      </c>
      <c r="AG2" s="27" t="s">
        <v>36</v>
      </c>
      <c r="AH2" s="28" t="s">
        <v>40</v>
      </c>
      <c r="AI2" s="29" t="s">
        <v>41</v>
      </c>
      <c r="AJ2" s="29" t="s">
        <v>39</v>
      </c>
      <c r="AK2" s="30" t="s">
        <v>42</v>
      </c>
      <c r="AL2" s="29" t="s">
        <v>37</v>
      </c>
      <c r="AM2" s="28" t="s">
        <v>44</v>
      </c>
      <c r="AN2" s="31"/>
      <c r="AO2" s="28"/>
      <c r="AP2" s="28"/>
      <c r="AQ2" s="28"/>
      <c r="AR2" s="16"/>
      <c r="AS2" s="32" t="s">
        <v>35</v>
      </c>
      <c r="AT2" s="33" t="s">
        <v>36</v>
      </c>
      <c r="AU2" s="34" t="s">
        <v>40</v>
      </c>
      <c r="AV2" s="35" t="s">
        <v>37</v>
      </c>
      <c r="AW2" s="34" t="s">
        <v>44</v>
      </c>
      <c r="AX2" s="36"/>
      <c r="AY2" s="19"/>
    </row>
    <row r="3" spans="1:51" x14ac:dyDescent="0.2">
      <c r="A3" s="5" t="s">
        <v>17</v>
      </c>
      <c r="B3" s="6" t="s">
        <v>2</v>
      </c>
      <c r="C3" s="37">
        <f>(Simulation!D3*Simulation!D4*Simulation!D5)/60</f>
        <v>60</v>
      </c>
      <c r="D3" s="6">
        <f>IF($C$3&gt;250,MROUND($C$3,10),MROUND($C$3,5))</f>
        <v>60</v>
      </c>
      <c r="E3" s="166">
        <f>C3/10*7</f>
        <v>42</v>
      </c>
      <c r="F3" s="167">
        <f>C3/10*3</f>
        <v>18</v>
      </c>
      <c r="G3" s="38">
        <v>400</v>
      </c>
      <c r="H3" s="39">
        <f>(21.6+22)/2</f>
        <v>21.8</v>
      </c>
      <c r="I3" s="39">
        <f t="shared" ref="I3" si="0">(13.3+14.9)/2</f>
        <v>14.100000000000001</v>
      </c>
      <c r="J3" s="39">
        <v>16.399999999999999</v>
      </c>
      <c r="L3" s="38">
        <v>400</v>
      </c>
      <c r="W3" s="40">
        <f t="shared" ref="W3" si="1">(46+60+36.9+46.4)/4</f>
        <v>47.325000000000003</v>
      </c>
      <c r="Y3" s="128">
        <v>3</v>
      </c>
      <c r="Z3" s="128">
        <v>4</v>
      </c>
      <c r="AA3" s="41">
        <v>12</v>
      </c>
      <c r="AB3" s="24"/>
      <c r="AC3" s="41">
        <v>12</v>
      </c>
      <c r="AD3" s="128">
        <v>3</v>
      </c>
      <c r="AE3" s="24"/>
      <c r="AF3" s="42">
        <f>IF(Simulation!$C$10="lithium+",150,IF(Simulation!$C$10="lithium",Simulation!$D$10,0))</f>
        <v>148</v>
      </c>
      <c r="AG3" s="43"/>
      <c r="AH3" s="44"/>
      <c r="AI3" s="45"/>
      <c r="AJ3" s="45"/>
      <c r="AK3" s="46"/>
      <c r="AL3" s="45">
        <v>0</v>
      </c>
      <c r="AM3" s="47">
        <v>0</v>
      </c>
      <c r="AN3" s="48">
        <f>IF(AF3&gt;0,1*AM3,0)</f>
        <v>0</v>
      </c>
      <c r="AO3" s="47"/>
      <c r="AP3" s="47"/>
      <c r="AQ3" s="47"/>
      <c r="AR3" s="49"/>
      <c r="AS3" s="50">
        <f>IF(Simulation!C10="piombo",Simulation!D10,0)</f>
        <v>0</v>
      </c>
      <c r="AT3" s="51"/>
      <c r="AU3" s="52"/>
      <c r="AV3" s="53">
        <v>0</v>
      </c>
      <c r="AW3" s="52">
        <v>0</v>
      </c>
      <c r="AX3" s="48">
        <f>IF(AS3&gt;0,1*AW3,0)</f>
        <v>0</v>
      </c>
      <c r="AY3" s="19"/>
    </row>
    <row r="4" spans="1:51" x14ac:dyDescent="0.2">
      <c r="G4" s="19">
        <f>G3-10</f>
        <v>390</v>
      </c>
      <c r="H4" s="28">
        <f t="shared" ref="H4:H11" si="2">($H$3-$H$13)/($G$3-$G$13)*$G4+($H$3-($H$3-$H$13)/($G$3-$G$13)*$G$3)</f>
        <v>21.615000000000002</v>
      </c>
      <c r="I4" s="28">
        <f t="shared" ref="I4:I11" si="3">($I$3-$I$13)/($G$3-$G$13)*$G4+($I$3-($I$3-$I$13)/($G$3-$G$13)*$G$3)</f>
        <v>14.175000000000001</v>
      </c>
      <c r="J4" s="39">
        <v>16.399999999999999</v>
      </c>
      <c r="L4" s="19">
        <f>L3-10</f>
        <v>390</v>
      </c>
      <c r="W4" s="21">
        <f t="shared" ref="W4:W11" si="4">(W$3-W$13)/($L$3-$L$13)*$L4+(W$3-(W$3-W$13)/($L$3-$L$13)*$L$3)</f>
        <v>46.8</v>
      </c>
      <c r="Y4" s="127">
        <f>(Y3+Y5)/2</f>
        <v>4</v>
      </c>
      <c r="Z4" s="21">
        <v>8</v>
      </c>
      <c r="AA4" s="41">
        <v>16</v>
      </c>
      <c r="AB4" s="24"/>
      <c r="AC4" s="41">
        <v>16</v>
      </c>
      <c r="AD4" s="127">
        <f>(AD3+AD5)/2</f>
        <v>4</v>
      </c>
      <c r="AE4" s="24">
        <v>1</v>
      </c>
      <c r="AF4" s="54">
        <f>IF(AF3&gt;7,AF3-AG4,0)</f>
        <v>118</v>
      </c>
      <c r="AG4" s="55">
        <f>MROUND($C$10*$C$13/60,2)</f>
        <v>30</v>
      </c>
      <c r="AH4" s="56"/>
      <c r="AI4" s="57"/>
      <c r="AJ4" s="57"/>
      <c r="AK4" s="58"/>
      <c r="AL4" s="59">
        <f>$C$13</f>
        <v>120</v>
      </c>
      <c r="AM4" s="47">
        <f>AL4/60</f>
        <v>2</v>
      </c>
      <c r="AN4" s="48">
        <f>IF(AF4&gt;0,1*AM4,0)</f>
        <v>2</v>
      </c>
      <c r="AO4" s="47"/>
      <c r="AP4" s="47"/>
      <c r="AQ4" s="47"/>
      <c r="AR4" s="49">
        <v>1</v>
      </c>
      <c r="AS4" s="60">
        <f>IF(AS3&gt;7,AS3-AT4,0)</f>
        <v>0</v>
      </c>
      <c r="AT4" s="61">
        <f>MROUND($C$10*$C$13/60,2)</f>
        <v>30</v>
      </c>
      <c r="AU4" s="44"/>
      <c r="AV4" s="45">
        <f>$C$13</f>
        <v>120</v>
      </c>
      <c r="AW4" s="44">
        <f>AV4/60</f>
        <v>2</v>
      </c>
      <c r="AX4" s="48">
        <f t="shared" ref="AX4:AX67" si="5">IF(AS4&gt;0,1*AW4,0)</f>
        <v>0</v>
      </c>
      <c r="AY4" s="19"/>
    </row>
    <row r="5" spans="1:51" x14ac:dyDescent="0.2">
      <c r="A5" s="5" t="s">
        <v>54</v>
      </c>
      <c r="B5" s="6" t="s">
        <v>18</v>
      </c>
      <c r="C5" s="21">
        <f>IF(Simulation!D8="PH",VLOOKUP(D3,Tabella1[],2,FALSE),VLOOKUP(D3,Tabella114[],2,FALSE))</f>
        <v>3.1799999999999997</v>
      </c>
      <c r="G5" s="19">
        <f t="shared" ref="G5:G18" si="6">G4-10</f>
        <v>380</v>
      </c>
      <c r="H5" s="28">
        <f t="shared" si="2"/>
        <v>21.43</v>
      </c>
      <c r="I5" s="28">
        <f t="shared" si="3"/>
        <v>14.25</v>
      </c>
      <c r="J5" s="39">
        <v>16.399999999999999</v>
      </c>
      <c r="L5" s="19">
        <f t="shared" ref="L5:L17" si="7">L4-10</f>
        <v>380</v>
      </c>
      <c r="W5" s="21">
        <f t="shared" si="4"/>
        <v>46.275000000000006</v>
      </c>
      <c r="Y5" s="128">
        <v>5</v>
      </c>
      <c r="Z5" s="21">
        <v>12</v>
      </c>
      <c r="AA5" s="41">
        <v>20</v>
      </c>
      <c r="AB5" s="24"/>
      <c r="AC5" s="41">
        <v>20</v>
      </c>
      <c r="AD5" s="128">
        <v>5</v>
      </c>
      <c r="AE5" s="24"/>
      <c r="AF5" s="62">
        <f>AF4</f>
        <v>118</v>
      </c>
      <c r="AG5" s="63"/>
      <c r="AH5" s="64">
        <f>$AL5</f>
        <v>7.5</v>
      </c>
      <c r="AI5" s="65"/>
      <c r="AJ5" s="65"/>
      <c r="AK5" s="46"/>
      <c r="AL5" s="66">
        <f>(Simulation!$D$13-(Simulation!$D$13*Simulation!$D$12))/2</f>
        <v>7.5</v>
      </c>
      <c r="AM5" s="47">
        <f>((AM4*60)+AL5)/60</f>
        <v>2.125</v>
      </c>
      <c r="AN5" s="48">
        <f t="shared" ref="AN5:AN68" si="8">IF(AF5&gt;0,1*AM5,0)</f>
        <v>2.125</v>
      </c>
      <c r="AO5" s="47"/>
      <c r="AP5" s="47"/>
      <c r="AQ5" s="47"/>
      <c r="AR5" s="49"/>
      <c r="AS5" s="67">
        <f>AS4</f>
        <v>0</v>
      </c>
      <c r="AT5" s="51"/>
      <c r="AU5" s="68">
        <f>Simulation!$D$13</f>
        <v>30</v>
      </c>
      <c r="AV5" s="53">
        <f>$AU$5</f>
        <v>30</v>
      </c>
      <c r="AW5" s="52">
        <f t="shared" ref="AW5:AW36" si="9">((AW4*60)+AV5)/60</f>
        <v>2.5</v>
      </c>
      <c r="AX5" s="48">
        <f t="shared" si="5"/>
        <v>0</v>
      </c>
      <c r="AY5" s="19"/>
    </row>
    <row r="6" spans="1:51" x14ac:dyDescent="0.2">
      <c r="A6" s="5" t="s">
        <v>19</v>
      </c>
      <c r="B6" s="6" t="s">
        <v>18</v>
      </c>
      <c r="C6" s="21">
        <f>IF(Simulation!D8="PH",VLOOKUP(D3,Tabella1[],3,FALSE),VLOOKUP(D3,Tabella114[],3,FALSE))</f>
        <v>7.7</v>
      </c>
      <c r="G6" s="19">
        <f t="shared" si="6"/>
        <v>370</v>
      </c>
      <c r="H6" s="28">
        <f t="shared" si="2"/>
        <v>21.245000000000001</v>
      </c>
      <c r="I6" s="28">
        <f t="shared" si="3"/>
        <v>14.325000000000001</v>
      </c>
      <c r="J6" s="39">
        <v>16.399999999999999</v>
      </c>
      <c r="L6" s="19">
        <f t="shared" si="7"/>
        <v>370</v>
      </c>
      <c r="V6" s="40">
        <v>40.6</v>
      </c>
      <c r="W6" s="21">
        <f t="shared" si="4"/>
        <v>45.75</v>
      </c>
      <c r="Y6" s="127">
        <f>(Y5+Y7)/2</f>
        <v>6</v>
      </c>
      <c r="Z6" s="21">
        <v>16</v>
      </c>
      <c r="AA6" s="41">
        <v>24</v>
      </c>
      <c r="AB6" s="24"/>
      <c r="AC6" s="41">
        <v>24</v>
      </c>
      <c r="AD6" s="127">
        <f>(AD5+AD7)/2</f>
        <v>6</v>
      </c>
      <c r="AE6" s="24"/>
      <c r="AF6" s="62">
        <f>IF(AF5&gt;8,AF5+AI6,0)</f>
        <v>138</v>
      </c>
      <c r="AG6" s="63"/>
      <c r="AH6" s="46"/>
      <c r="AI6" s="69">
        <f>IF(AJ6&gt;0,IF(Simulation!$C$10="Lithium",VLOOKUP(AJ6+$C$16,Tabella4[],3)-AF5,0),0)</f>
        <v>20</v>
      </c>
      <c r="AJ6" s="69">
        <f>IF(AF5&gt;7,VLOOKUP(AF5,Tabella44[],2),0)</f>
        <v>60</v>
      </c>
      <c r="AK6" s="46"/>
      <c r="AL6" s="70">
        <f>Simulation!$D$13*Simulation!$D$12</f>
        <v>15</v>
      </c>
      <c r="AM6" s="47">
        <f t="shared" ref="AM6:AM11" si="10">((AM5*60)+AL6)/60</f>
        <v>2.375</v>
      </c>
      <c r="AN6" s="48">
        <f t="shared" si="8"/>
        <v>2.375</v>
      </c>
      <c r="AO6" s="47"/>
      <c r="AP6" s="47"/>
      <c r="AQ6" s="47"/>
      <c r="AR6" s="49">
        <v>2</v>
      </c>
      <c r="AS6" s="60">
        <f>IF(AS5&gt;7,AS5-AT6,0)</f>
        <v>0</v>
      </c>
      <c r="AT6" s="61">
        <f>MROUND($C$10*$C$13/60,2)</f>
        <v>30</v>
      </c>
      <c r="AU6" s="44"/>
      <c r="AV6" s="45">
        <f>$C$13</f>
        <v>120</v>
      </c>
      <c r="AW6" s="52">
        <f t="shared" si="9"/>
        <v>4.5</v>
      </c>
      <c r="AX6" s="48">
        <f t="shared" si="5"/>
        <v>0</v>
      </c>
      <c r="AY6" s="19"/>
    </row>
    <row r="7" spans="1:51" x14ac:dyDescent="0.2">
      <c r="A7" s="5" t="s">
        <v>20</v>
      </c>
      <c r="B7" s="6" t="s">
        <v>18</v>
      </c>
      <c r="C7" s="21">
        <f>IF(Simulation!D8="PH",VLOOKUP(D3,Tabella1[],4,FALSE),VLOOKUP(D3,Tabella114[],4,FALSE))</f>
        <v>4.2</v>
      </c>
      <c r="D7" s="21">
        <f>IF(Simulation!C6="No",0,1)*C7</f>
        <v>0</v>
      </c>
      <c r="G7" s="19">
        <f t="shared" si="6"/>
        <v>360</v>
      </c>
      <c r="H7" s="28">
        <f t="shared" si="2"/>
        <v>21.060000000000002</v>
      </c>
      <c r="I7" s="28">
        <f t="shared" si="3"/>
        <v>14.4</v>
      </c>
      <c r="J7" s="39">
        <v>16.399999999999999</v>
      </c>
      <c r="L7" s="19">
        <f t="shared" si="7"/>
        <v>360</v>
      </c>
      <c r="V7" s="21">
        <f t="shared" ref="V7:V13" si="11">(V$6-V$15)/($L$6-$L$15)*$L7+(V$6-(V$6-V$15)/($L$6-$L$15)*$L$6)</f>
        <v>40.422222222222224</v>
      </c>
      <c r="W7" s="21">
        <f t="shared" si="4"/>
        <v>45.225000000000001</v>
      </c>
      <c r="Y7" s="128">
        <v>7</v>
      </c>
      <c r="Z7" s="21">
        <v>20</v>
      </c>
      <c r="AA7" s="41">
        <v>28</v>
      </c>
      <c r="AB7" s="24"/>
      <c r="AC7" s="41">
        <v>28</v>
      </c>
      <c r="AD7" s="128">
        <v>7</v>
      </c>
      <c r="AE7" s="24"/>
      <c r="AF7" s="71">
        <f>AF6</f>
        <v>138</v>
      </c>
      <c r="AG7" s="72"/>
      <c r="AH7" s="73"/>
      <c r="AI7" s="74"/>
      <c r="AJ7" s="74"/>
      <c r="AK7" s="64">
        <f>$AL7</f>
        <v>7.5</v>
      </c>
      <c r="AL7" s="66">
        <f>(Simulation!$D$13-(Simulation!$D$13*Simulation!$D$12))/2</f>
        <v>7.5</v>
      </c>
      <c r="AM7" s="47">
        <f t="shared" si="10"/>
        <v>2.5</v>
      </c>
      <c r="AN7" s="48">
        <f t="shared" si="8"/>
        <v>2.5</v>
      </c>
      <c r="AO7" s="47"/>
      <c r="AP7" s="47"/>
      <c r="AQ7" s="47"/>
      <c r="AR7" s="49"/>
      <c r="AS7" s="67">
        <f>AS6</f>
        <v>0</v>
      </c>
      <c r="AT7" s="51"/>
      <c r="AU7" s="68">
        <f>Simulation!$D$13</f>
        <v>30</v>
      </c>
      <c r="AV7" s="53">
        <f>$AU$5</f>
        <v>30</v>
      </c>
      <c r="AW7" s="52">
        <f t="shared" si="9"/>
        <v>5</v>
      </c>
      <c r="AX7" s="48">
        <f t="shared" si="5"/>
        <v>0</v>
      </c>
      <c r="AY7" s="19"/>
    </row>
    <row r="8" spans="1:51" x14ac:dyDescent="0.2">
      <c r="A8" s="5" t="s">
        <v>29</v>
      </c>
      <c r="B8" s="6" t="s">
        <v>18</v>
      </c>
      <c r="C8" s="21">
        <f>VLOOKUP(D3,Tabella2[],Simulation!D4,FALSE)</f>
        <v>3.9</v>
      </c>
      <c r="G8" s="19">
        <f t="shared" si="6"/>
        <v>350</v>
      </c>
      <c r="H8" s="28">
        <f t="shared" si="2"/>
        <v>20.875</v>
      </c>
      <c r="I8" s="28">
        <f t="shared" si="3"/>
        <v>14.475000000000001</v>
      </c>
      <c r="J8" s="39">
        <v>16.399999999999999</v>
      </c>
      <c r="L8" s="19">
        <f t="shared" si="7"/>
        <v>350</v>
      </c>
      <c r="V8" s="21">
        <f t="shared" si="11"/>
        <v>40.244444444444447</v>
      </c>
      <c r="W8" s="21">
        <f t="shared" si="4"/>
        <v>44.7</v>
      </c>
      <c r="Y8" s="127">
        <f>(Y7+Y9)/2</f>
        <v>8</v>
      </c>
      <c r="Z8" s="21">
        <v>23</v>
      </c>
      <c r="AA8" s="41">
        <v>32</v>
      </c>
      <c r="AB8" s="24"/>
      <c r="AC8" s="41">
        <v>32</v>
      </c>
      <c r="AD8" s="127">
        <f>(AD7+AD9)/2</f>
        <v>8</v>
      </c>
      <c r="AE8" s="24">
        <v>2</v>
      </c>
      <c r="AF8" s="54">
        <f>IF(AF7&gt;7,AF7-AG8,0)</f>
        <v>108</v>
      </c>
      <c r="AG8" s="55">
        <f>MROUND($C$10*$C$13/60,2)</f>
        <v>30</v>
      </c>
      <c r="AH8" s="56"/>
      <c r="AI8" s="57"/>
      <c r="AJ8" s="57"/>
      <c r="AK8" s="58"/>
      <c r="AL8" s="59">
        <f>$C$13</f>
        <v>120</v>
      </c>
      <c r="AM8" s="47">
        <f t="shared" si="10"/>
        <v>4.5</v>
      </c>
      <c r="AN8" s="48">
        <f t="shared" si="8"/>
        <v>4.5</v>
      </c>
      <c r="AO8" s="47"/>
      <c r="AP8" s="47"/>
      <c r="AQ8" s="47"/>
      <c r="AR8" s="49">
        <v>3</v>
      </c>
      <c r="AS8" s="60">
        <f>IF(AS7&gt;7,AS7-AT8,0)</f>
        <v>0</v>
      </c>
      <c r="AT8" s="61">
        <f>MROUND($C$10*$C$13/60,2)</f>
        <v>30</v>
      </c>
      <c r="AU8" s="44"/>
      <c r="AV8" s="45">
        <f>$C$13</f>
        <v>120</v>
      </c>
      <c r="AW8" s="52">
        <f t="shared" si="9"/>
        <v>7</v>
      </c>
      <c r="AX8" s="48">
        <f t="shared" si="5"/>
        <v>0</v>
      </c>
      <c r="AY8" s="19"/>
    </row>
    <row r="9" spans="1:51" x14ac:dyDescent="0.2">
      <c r="G9" s="19">
        <f t="shared" si="6"/>
        <v>340</v>
      </c>
      <c r="H9" s="28">
        <f t="shared" si="2"/>
        <v>20.69</v>
      </c>
      <c r="I9" s="28">
        <f t="shared" si="3"/>
        <v>14.55</v>
      </c>
      <c r="J9" s="39">
        <v>16.399999999999999</v>
      </c>
      <c r="L9" s="19">
        <f t="shared" si="7"/>
        <v>340</v>
      </c>
      <c r="U9" s="40">
        <v>28.4</v>
      </c>
      <c r="V9" s="21">
        <f t="shared" si="11"/>
        <v>40.06666666666667</v>
      </c>
      <c r="W9" s="21">
        <f t="shared" si="4"/>
        <v>44.174999999999997</v>
      </c>
      <c r="Y9" s="128">
        <v>9</v>
      </c>
      <c r="Z9" s="127">
        <v>26</v>
      </c>
      <c r="AA9" s="41">
        <v>34</v>
      </c>
      <c r="AB9" s="24"/>
      <c r="AC9" s="41">
        <v>34</v>
      </c>
      <c r="AD9" s="128">
        <v>9</v>
      </c>
      <c r="AE9" s="24"/>
      <c r="AF9" s="62">
        <f>AF8</f>
        <v>108</v>
      </c>
      <c r="AG9" s="63"/>
      <c r="AH9" s="64">
        <f>$AL9</f>
        <v>7.5</v>
      </c>
      <c r="AI9" s="65"/>
      <c r="AJ9" s="65"/>
      <c r="AK9" s="46"/>
      <c r="AL9" s="66">
        <f>(Simulation!$D$13-(Simulation!$D$13*Simulation!$D$12))/2</f>
        <v>7.5</v>
      </c>
      <c r="AM9" s="47">
        <f t="shared" si="10"/>
        <v>4.625</v>
      </c>
      <c r="AN9" s="48">
        <f t="shared" si="8"/>
        <v>4.625</v>
      </c>
      <c r="AO9" s="47"/>
      <c r="AP9" s="47"/>
      <c r="AQ9" s="47"/>
      <c r="AR9" s="49"/>
      <c r="AS9" s="67">
        <f>AS8</f>
        <v>0</v>
      </c>
      <c r="AT9" s="51"/>
      <c r="AU9" s="68">
        <f>Simulation!$D$13</f>
        <v>30</v>
      </c>
      <c r="AV9" s="53">
        <f>$AU$5</f>
        <v>30</v>
      </c>
      <c r="AW9" s="52">
        <f t="shared" si="9"/>
        <v>7.5</v>
      </c>
      <c r="AX9" s="48">
        <f t="shared" si="5"/>
        <v>0</v>
      </c>
      <c r="AY9" s="19"/>
    </row>
    <row r="10" spans="1:51" x14ac:dyDescent="0.2">
      <c r="A10" s="5" t="s">
        <v>27</v>
      </c>
      <c r="B10" s="6" t="s">
        <v>18</v>
      </c>
      <c r="C10" s="21">
        <f>C5+C6+D7+C8</f>
        <v>14.78</v>
      </c>
      <c r="D10" s="6" t="s">
        <v>25</v>
      </c>
      <c r="G10" s="19">
        <f t="shared" si="6"/>
        <v>330</v>
      </c>
      <c r="H10" s="28">
        <f t="shared" si="2"/>
        <v>20.505000000000003</v>
      </c>
      <c r="I10" s="28">
        <f t="shared" si="3"/>
        <v>14.625</v>
      </c>
      <c r="J10" s="39">
        <v>16.399999999999999</v>
      </c>
      <c r="L10" s="19">
        <f t="shared" si="7"/>
        <v>330</v>
      </c>
      <c r="U10" s="21">
        <f t="shared" ref="U10:U16" si="12">(U$9-U$18)/($L$9-$L$18)*$L10+(U$9-(U$9-U$18)/($L$9-$L$18)*$L$18)</f>
        <v>30.177777777777777</v>
      </c>
      <c r="V10" s="21">
        <f t="shared" si="11"/>
        <v>39.888888888888893</v>
      </c>
      <c r="W10" s="21">
        <f t="shared" si="4"/>
        <v>43.650000000000006</v>
      </c>
      <c r="Y10" s="127">
        <f>(Y9+Y11)/2</f>
        <v>10</v>
      </c>
      <c r="Z10" s="128">
        <v>28</v>
      </c>
      <c r="AA10" s="41">
        <v>36</v>
      </c>
      <c r="AB10" s="24"/>
      <c r="AC10" s="41">
        <v>36</v>
      </c>
      <c r="AD10" s="127">
        <f>(AD9+AD11)/2</f>
        <v>10</v>
      </c>
      <c r="AE10" s="24"/>
      <c r="AF10" s="62">
        <f>AF9+AI10</f>
        <v>130</v>
      </c>
      <c r="AG10" s="63"/>
      <c r="AH10" s="46"/>
      <c r="AI10" s="69">
        <f>IF(AJ10&gt;0,IF(Simulation!$C$10="Lithium",VLOOKUP(AJ10+$C$16,Tabella4[],3)-AF9,0),0)</f>
        <v>22</v>
      </c>
      <c r="AJ10" s="69">
        <f>IF(AF9&gt;7,VLOOKUP(AF9,Tabella44[],2),0)</f>
        <v>53</v>
      </c>
      <c r="AK10" s="46"/>
      <c r="AL10" s="70">
        <f>Simulation!$D$13*Simulation!$D$12</f>
        <v>15</v>
      </c>
      <c r="AM10" s="47">
        <f t="shared" si="10"/>
        <v>4.875</v>
      </c>
      <c r="AN10" s="48">
        <f t="shared" si="8"/>
        <v>4.875</v>
      </c>
      <c r="AO10" s="47"/>
      <c r="AP10" s="47"/>
      <c r="AQ10" s="47"/>
      <c r="AR10" s="49">
        <v>4</v>
      </c>
      <c r="AS10" s="60">
        <f>IF(AS9&gt;7,AS9-AT10,0)</f>
        <v>0</v>
      </c>
      <c r="AT10" s="61">
        <f>MROUND($C$10*$C$13/60,2)</f>
        <v>30</v>
      </c>
      <c r="AU10" s="44"/>
      <c r="AV10" s="45">
        <f>$C$13</f>
        <v>120</v>
      </c>
      <c r="AW10" s="52">
        <f t="shared" si="9"/>
        <v>9.5</v>
      </c>
      <c r="AX10" s="48">
        <f t="shared" si="5"/>
        <v>0</v>
      </c>
      <c r="AY10" s="19"/>
    </row>
    <row r="11" spans="1:51" x14ac:dyDescent="0.2">
      <c r="G11" s="19">
        <f t="shared" si="6"/>
        <v>320</v>
      </c>
      <c r="H11" s="28">
        <f t="shared" si="2"/>
        <v>20.32</v>
      </c>
      <c r="I11" s="28">
        <f t="shared" si="3"/>
        <v>14.7</v>
      </c>
      <c r="J11" s="39">
        <v>16.399999999999999</v>
      </c>
      <c r="L11" s="19">
        <f t="shared" si="7"/>
        <v>320</v>
      </c>
      <c r="U11" s="21">
        <f t="shared" si="12"/>
        <v>29.955555555555552</v>
      </c>
      <c r="V11" s="21">
        <f t="shared" si="11"/>
        <v>39.711111111111116</v>
      </c>
      <c r="W11" s="21">
        <f t="shared" si="4"/>
        <v>43.125</v>
      </c>
      <c r="Y11" s="128">
        <v>11</v>
      </c>
      <c r="Z11" s="127">
        <v>30</v>
      </c>
      <c r="AA11" s="41">
        <v>38</v>
      </c>
      <c r="AB11" s="24"/>
      <c r="AC11" s="41">
        <v>38</v>
      </c>
      <c r="AD11" s="128">
        <v>11</v>
      </c>
      <c r="AE11" s="24"/>
      <c r="AF11" s="71">
        <f>AF10</f>
        <v>130</v>
      </c>
      <c r="AG11" s="72"/>
      <c r="AH11" s="73"/>
      <c r="AI11" s="74"/>
      <c r="AJ11" s="74"/>
      <c r="AK11" s="64">
        <f>$AL11</f>
        <v>7.5</v>
      </c>
      <c r="AL11" s="66">
        <f>(Simulation!$D$13-(Simulation!$D$13*Simulation!$D$12))/2</f>
        <v>7.5</v>
      </c>
      <c r="AM11" s="47">
        <f t="shared" si="10"/>
        <v>5</v>
      </c>
      <c r="AN11" s="48">
        <f t="shared" si="8"/>
        <v>5</v>
      </c>
      <c r="AO11" s="47"/>
      <c r="AP11" s="47"/>
      <c r="AQ11" s="47"/>
      <c r="AR11" s="49"/>
      <c r="AS11" s="67">
        <f>AS10</f>
        <v>0</v>
      </c>
      <c r="AT11" s="51"/>
      <c r="AU11" s="68">
        <f>Simulation!$D$13</f>
        <v>30</v>
      </c>
      <c r="AV11" s="53">
        <f>$AU$5</f>
        <v>30</v>
      </c>
      <c r="AW11" s="52">
        <f t="shared" si="9"/>
        <v>10</v>
      </c>
      <c r="AX11" s="48">
        <f t="shared" si="5"/>
        <v>0</v>
      </c>
      <c r="AY11" s="19"/>
    </row>
    <row r="12" spans="1:51" x14ac:dyDescent="0.2">
      <c r="A12" s="5" t="s">
        <v>32</v>
      </c>
      <c r="B12" s="6" t="s">
        <v>23</v>
      </c>
      <c r="C12" s="6">
        <f>Simulation!D9*1200</f>
        <v>7200</v>
      </c>
      <c r="G12" s="19">
        <f t="shared" si="6"/>
        <v>310</v>
      </c>
      <c r="H12" s="28">
        <f>($H$3-$H$13)/($G$3-$G$13)*$G12+($H$3-($H$3-$H$13)/($G$3-$G$13)*$G$3)</f>
        <v>20.135000000000002</v>
      </c>
      <c r="I12" s="28">
        <f>($I$3-$I$13)/($G$3-$G$13)*$G12+($I$3-($I$3-$I$13)/($G$3-$G$13)*$G$3)</f>
        <v>14.775</v>
      </c>
      <c r="J12" s="39">
        <v>16.399999999999999</v>
      </c>
      <c r="L12" s="19">
        <f t="shared" si="7"/>
        <v>310</v>
      </c>
      <c r="U12" s="21">
        <f t="shared" si="12"/>
        <v>29.733333333333331</v>
      </c>
      <c r="V12" s="21">
        <f t="shared" si="11"/>
        <v>39.533333333333331</v>
      </c>
      <c r="W12" s="21">
        <f>(W$3-W$13)/($L$3-$L$13)*$L12+(W$3-(W$3-W$13)/($L$3-$L$13)*$L$3)</f>
        <v>42.6</v>
      </c>
      <c r="Y12" s="127">
        <f>(Y11+Y13)/2</f>
        <v>12</v>
      </c>
      <c r="Z12" s="128">
        <v>32</v>
      </c>
      <c r="AA12" s="41">
        <v>40</v>
      </c>
      <c r="AB12" s="24"/>
      <c r="AC12" s="41">
        <v>40</v>
      </c>
      <c r="AD12" s="127">
        <f>(AD11+AD13)/2</f>
        <v>12</v>
      </c>
      <c r="AE12" s="24">
        <v>3</v>
      </c>
      <c r="AF12" s="54">
        <f>IF(AF11&gt;7,AF11-AG12,0)</f>
        <v>100</v>
      </c>
      <c r="AG12" s="55">
        <f>MROUND($C$10*$C$13/60,2)</f>
        <v>30</v>
      </c>
      <c r="AH12" s="56"/>
      <c r="AI12" s="57"/>
      <c r="AJ12" s="57"/>
      <c r="AK12" s="58"/>
      <c r="AL12" s="59">
        <f>$C$13</f>
        <v>120</v>
      </c>
      <c r="AM12" s="47">
        <f t="shared" ref="AM12:AM75" si="13">((AM11*60)+AL12)/60</f>
        <v>7</v>
      </c>
      <c r="AN12" s="48">
        <f t="shared" si="8"/>
        <v>7</v>
      </c>
      <c r="AO12" s="47"/>
      <c r="AP12" s="47"/>
      <c r="AQ12" s="47"/>
      <c r="AR12" s="49">
        <v>5</v>
      </c>
      <c r="AS12" s="60">
        <f>IF(AS11&gt;7,AS11-AT12,0)</f>
        <v>0</v>
      </c>
      <c r="AT12" s="61">
        <f>MROUND($C$10*$C$13/60,2)</f>
        <v>30</v>
      </c>
      <c r="AU12" s="44"/>
      <c r="AV12" s="45">
        <f>$C$13</f>
        <v>120</v>
      </c>
      <c r="AW12" s="52">
        <f t="shared" si="9"/>
        <v>12</v>
      </c>
      <c r="AX12" s="48">
        <f t="shared" si="5"/>
        <v>0</v>
      </c>
      <c r="AY12" s="19"/>
    </row>
    <row r="13" spans="1:51" x14ac:dyDescent="0.2">
      <c r="A13" s="5" t="s">
        <v>24</v>
      </c>
      <c r="B13" s="6" t="s">
        <v>22</v>
      </c>
      <c r="C13" s="37">
        <f>C12/C3</f>
        <v>120</v>
      </c>
      <c r="G13" s="38">
        <f t="shared" si="6"/>
        <v>300</v>
      </c>
      <c r="H13" s="39">
        <f>(19.8+20.1)/2</f>
        <v>19.950000000000003</v>
      </c>
      <c r="I13" s="39">
        <f>(14.7+15)/2</f>
        <v>14.85</v>
      </c>
      <c r="J13" s="39">
        <v>16.399999999999999</v>
      </c>
      <c r="L13" s="38">
        <f t="shared" si="7"/>
        <v>300</v>
      </c>
      <c r="T13" s="40">
        <v>24.3</v>
      </c>
      <c r="U13" s="21">
        <f t="shared" si="12"/>
        <v>29.511111111111109</v>
      </c>
      <c r="V13" s="21">
        <f t="shared" si="11"/>
        <v>39.355555555555554</v>
      </c>
      <c r="W13" s="40">
        <f>(39+44.9+34.1+50.3)/4</f>
        <v>42.075000000000003</v>
      </c>
      <c r="Y13" s="128">
        <v>13</v>
      </c>
      <c r="Z13" s="127">
        <v>33.5</v>
      </c>
      <c r="AA13" s="41">
        <v>42</v>
      </c>
      <c r="AB13" s="24"/>
      <c r="AC13" s="41">
        <v>42</v>
      </c>
      <c r="AD13" s="128">
        <v>13</v>
      </c>
      <c r="AE13" s="24"/>
      <c r="AF13" s="62">
        <f>AF12</f>
        <v>100</v>
      </c>
      <c r="AG13" s="63"/>
      <c r="AH13" s="64">
        <f>$AL13</f>
        <v>7.5</v>
      </c>
      <c r="AI13" s="65"/>
      <c r="AJ13" s="65"/>
      <c r="AK13" s="46"/>
      <c r="AL13" s="66">
        <f>(Simulation!$D$13-(Simulation!$D$13*Simulation!$D$12))/2</f>
        <v>7.5</v>
      </c>
      <c r="AM13" s="47">
        <f t="shared" si="13"/>
        <v>7.125</v>
      </c>
      <c r="AN13" s="48">
        <f t="shared" si="8"/>
        <v>7.125</v>
      </c>
      <c r="AO13" s="47"/>
      <c r="AP13" s="47"/>
      <c r="AQ13" s="47"/>
      <c r="AR13" s="49"/>
      <c r="AS13" s="67">
        <f>AS12</f>
        <v>0</v>
      </c>
      <c r="AT13" s="51"/>
      <c r="AU13" s="68">
        <f>Simulation!$D$13</f>
        <v>30</v>
      </c>
      <c r="AV13" s="53">
        <f>$AU$5</f>
        <v>30</v>
      </c>
      <c r="AW13" s="52">
        <f t="shared" si="9"/>
        <v>12.5</v>
      </c>
      <c r="AX13" s="48">
        <f t="shared" si="5"/>
        <v>0</v>
      </c>
      <c r="AY13" s="19"/>
    </row>
    <row r="14" spans="1:51" x14ac:dyDescent="0.2">
      <c r="G14" s="19">
        <f>G13-10</f>
        <v>290</v>
      </c>
      <c r="H14" s="28">
        <f t="shared" ref="H14:H26" si="14">($H$13-$H$28)/($G$13-$G$28)*$G14+($H$13-($H$13-$H$28)/($G$13-$G$28)*$G$13)</f>
        <v>19.265000000000001</v>
      </c>
      <c r="I14" s="28">
        <f t="shared" ref="I14:I26" si="15">($I$13-$I$28)/($G$13-$G$28)*$G14+($I$13-($I$13-$I$28)/($G$13-$G$28)*$G$13)</f>
        <v>14.734999999999999</v>
      </c>
      <c r="J14" s="39">
        <v>16.399999999999999</v>
      </c>
      <c r="L14" s="19">
        <f>L13-10</f>
        <v>290</v>
      </c>
      <c r="T14" s="21">
        <f t="shared" ref="T14:T21" si="16">(T$13-T$23)/($L$13-$L$23)*$L14+(T$13-(T$13-T$23)/($L$13-$L$23)*$L$13)</f>
        <v>23.5</v>
      </c>
      <c r="U14" s="21">
        <f t="shared" si="12"/>
        <v>29.288888888888884</v>
      </c>
      <c r="V14" s="21">
        <f>(V$6-V$15)/($L$6-$L$15)*$L14+(V$6-(V$6-V$15)/($L$6-$L$15)*$L$6)</f>
        <v>39.177777777777777</v>
      </c>
      <c r="W14" s="21">
        <f t="shared" ref="W14:W26" si="17">(W$13-W$28)/($L$13-$L$28)*$L14+(W$13-(W$13-W$28)/($L$13-$L$28)*$L$13)</f>
        <v>41.064999999999998</v>
      </c>
      <c r="Y14" s="127">
        <f>(Y13+Y15)/2</f>
        <v>14</v>
      </c>
      <c r="Z14" s="128">
        <v>35</v>
      </c>
      <c r="AA14" s="41">
        <v>44</v>
      </c>
      <c r="AB14" s="24"/>
      <c r="AC14" s="41">
        <v>44</v>
      </c>
      <c r="AD14" s="127">
        <f>(AD13+AD15)/2</f>
        <v>14</v>
      </c>
      <c r="AE14" s="24"/>
      <c r="AF14" s="62">
        <f>AF13+AI14</f>
        <v>122</v>
      </c>
      <c r="AG14" s="63"/>
      <c r="AH14" s="46"/>
      <c r="AI14" s="69">
        <f>IF(AJ14&gt;0,IF(Simulation!$C$10="Lithium",VLOOKUP(AJ14+$C$16,Tabella4[],3)-AF13,0),0)</f>
        <v>22</v>
      </c>
      <c r="AJ14" s="69">
        <f>IF(AF13&gt;7,VLOOKUP(AF13,Tabella44[],2),0)</f>
        <v>48</v>
      </c>
      <c r="AK14" s="46"/>
      <c r="AL14" s="70">
        <f>Simulation!$D$13*Simulation!$D$12</f>
        <v>15</v>
      </c>
      <c r="AM14" s="47">
        <f t="shared" si="13"/>
        <v>7.375</v>
      </c>
      <c r="AN14" s="48">
        <f t="shared" si="8"/>
        <v>7.375</v>
      </c>
      <c r="AO14" s="47"/>
      <c r="AP14" s="47"/>
      <c r="AQ14" s="47"/>
      <c r="AR14" s="49">
        <v>6</v>
      </c>
      <c r="AS14" s="60">
        <f>IF(AS13&gt;7,AS13-AT14,0)</f>
        <v>0</v>
      </c>
      <c r="AT14" s="61">
        <f>MROUND($C$10*$C$13/60,2)</f>
        <v>30</v>
      </c>
      <c r="AU14" s="44"/>
      <c r="AV14" s="45">
        <f>$C$13</f>
        <v>120</v>
      </c>
      <c r="AW14" s="52">
        <f t="shared" si="9"/>
        <v>14.5</v>
      </c>
      <c r="AX14" s="48">
        <f t="shared" si="5"/>
        <v>0</v>
      </c>
      <c r="AY14" s="19"/>
    </row>
    <row r="15" spans="1:51" x14ac:dyDescent="0.2">
      <c r="A15" s="75"/>
      <c r="B15" s="19"/>
      <c r="C15" s="29"/>
      <c r="D15" s="76"/>
      <c r="G15" s="19">
        <f t="shared" si="6"/>
        <v>280</v>
      </c>
      <c r="H15" s="28">
        <f t="shared" si="14"/>
        <v>18.580000000000002</v>
      </c>
      <c r="I15" s="28">
        <f t="shared" si="15"/>
        <v>14.62</v>
      </c>
      <c r="J15" s="30">
        <v>16</v>
      </c>
      <c r="L15" s="19">
        <f t="shared" si="7"/>
        <v>280</v>
      </c>
      <c r="T15" s="21">
        <f t="shared" si="16"/>
        <v>22.700000000000003</v>
      </c>
      <c r="U15" s="21">
        <f t="shared" si="12"/>
        <v>29.066666666666663</v>
      </c>
      <c r="V15" s="40">
        <v>39</v>
      </c>
      <c r="W15" s="21">
        <f t="shared" si="17"/>
        <v>40.055</v>
      </c>
      <c r="Y15" s="128">
        <v>15</v>
      </c>
      <c r="Z15" s="127">
        <v>37</v>
      </c>
      <c r="AA15" s="41">
        <v>46</v>
      </c>
      <c r="AB15" s="24"/>
      <c r="AC15" s="41">
        <v>46</v>
      </c>
      <c r="AD15" s="128">
        <v>15</v>
      </c>
      <c r="AE15" s="24"/>
      <c r="AF15" s="71">
        <f>AF14</f>
        <v>122</v>
      </c>
      <c r="AG15" s="72"/>
      <c r="AH15" s="73"/>
      <c r="AI15" s="74"/>
      <c r="AJ15" s="74"/>
      <c r="AK15" s="64">
        <f>AL15</f>
        <v>7.5</v>
      </c>
      <c r="AL15" s="66">
        <f>(Simulation!$D$13-(Simulation!$D$13*Simulation!$D$12))/2</f>
        <v>7.5</v>
      </c>
      <c r="AM15" s="47">
        <f t="shared" si="13"/>
        <v>7.5</v>
      </c>
      <c r="AN15" s="48">
        <f t="shared" si="8"/>
        <v>7.5</v>
      </c>
      <c r="AO15" s="47"/>
      <c r="AP15" s="47"/>
      <c r="AQ15" s="47"/>
      <c r="AR15" s="49"/>
      <c r="AS15" s="67">
        <f>AS14</f>
        <v>0</v>
      </c>
      <c r="AT15" s="51"/>
      <c r="AU15" s="68">
        <f>Simulation!$D$13</f>
        <v>30</v>
      </c>
      <c r="AV15" s="53">
        <f>$AU$5</f>
        <v>30</v>
      </c>
      <c r="AW15" s="52">
        <f t="shared" si="9"/>
        <v>15</v>
      </c>
      <c r="AX15" s="48">
        <f t="shared" si="5"/>
        <v>0</v>
      </c>
      <c r="AY15" s="19"/>
    </row>
    <row r="16" spans="1:51" x14ac:dyDescent="0.2">
      <c r="A16" s="75" t="s">
        <v>43</v>
      </c>
      <c r="B16" s="19" t="s">
        <v>22</v>
      </c>
      <c r="C16" s="77">
        <f>Simulation!D13*Simulation!D12</f>
        <v>15</v>
      </c>
      <c r="D16" s="76"/>
      <c r="G16" s="19">
        <f t="shared" si="6"/>
        <v>270</v>
      </c>
      <c r="H16" s="28">
        <f t="shared" si="14"/>
        <v>17.895</v>
      </c>
      <c r="I16" s="28">
        <f t="shared" si="15"/>
        <v>14.504999999999999</v>
      </c>
      <c r="J16" s="28">
        <v>15.4</v>
      </c>
      <c r="L16" s="19">
        <f t="shared" si="7"/>
        <v>270</v>
      </c>
      <c r="S16" s="40">
        <v>19.5</v>
      </c>
      <c r="T16" s="21">
        <f t="shared" si="16"/>
        <v>21.900000000000002</v>
      </c>
      <c r="U16" s="21">
        <f t="shared" si="12"/>
        <v>28.844444444444441</v>
      </c>
      <c r="V16" s="21">
        <f t="shared" ref="V16:V29" si="18">(V$15-V$31)/($L$15-$L$31)*$L16+(V$15-(V$15-V$31)/($L$15-$L$31)*$L$15)</f>
        <v>38.326315789473682</v>
      </c>
      <c r="W16" s="21">
        <f t="shared" si="17"/>
        <v>39.045000000000002</v>
      </c>
      <c r="Y16" s="127">
        <f>(Y15+Y17)/2</f>
        <v>16</v>
      </c>
      <c r="Z16" s="129">
        <v>39</v>
      </c>
      <c r="AA16" s="41">
        <v>48</v>
      </c>
      <c r="AB16" s="24"/>
      <c r="AC16" s="41">
        <v>48</v>
      </c>
      <c r="AD16" s="127">
        <f>(AD15+AD17)/2</f>
        <v>16</v>
      </c>
      <c r="AE16" s="24">
        <v>4</v>
      </c>
      <c r="AF16" s="54">
        <f>IF(AF15&gt;7,AF15-AG16,0)</f>
        <v>92</v>
      </c>
      <c r="AG16" s="55">
        <f>MROUND($C$10*$C$13/60,2)</f>
        <v>30</v>
      </c>
      <c r="AH16" s="56"/>
      <c r="AI16" s="57"/>
      <c r="AJ16" s="57"/>
      <c r="AK16" s="58"/>
      <c r="AL16" s="59">
        <f>$C$13</f>
        <v>120</v>
      </c>
      <c r="AM16" s="47">
        <f t="shared" si="13"/>
        <v>9.5</v>
      </c>
      <c r="AN16" s="48">
        <f t="shared" si="8"/>
        <v>9.5</v>
      </c>
      <c r="AO16" s="47"/>
      <c r="AP16" s="47"/>
      <c r="AQ16" s="47"/>
      <c r="AR16" s="49">
        <v>7</v>
      </c>
      <c r="AS16" s="60">
        <f>IF(AS15&gt;7,AS15-AT16,0)</f>
        <v>0</v>
      </c>
      <c r="AT16" s="61">
        <f>MROUND($C$10*$C$13/60,2)</f>
        <v>30</v>
      </c>
      <c r="AU16" s="44"/>
      <c r="AV16" s="45">
        <f>$C$13</f>
        <v>120</v>
      </c>
      <c r="AW16" s="52">
        <f t="shared" si="9"/>
        <v>17</v>
      </c>
      <c r="AX16" s="48">
        <f t="shared" si="5"/>
        <v>0</v>
      </c>
      <c r="AY16" s="19"/>
    </row>
    <row r="17" spans="1:51" x14ac:dyDescent="0.2">
      <c r="A17" s="75"/>
      <c r="B17" s="78"/>
      <c r="C17" s="76"/>
      <c r="D17" s="76"/>
      <c r="G17" s="19">
        <f t="shared" si="6"/>
        <v>260</v>
      </c>
      <c r="H17" s="28">
        <f t="shared" si="14"/>
        <v>17.21</v>
      </c>
      <c r="I17" s="28">
        <f t="shared" si="15"/>
        <v>14.389999999999999</v>
      </c>
      <c r="J17" s="28">
        <f>(J14+J20)/2</f>
        <v>14.75</v>
      </c>
      <c r="L17" s="19">
        <f t="shared" si="7"/>
        <v>260</v>
      </c>
      <c r="S17" s="21">
        <f t="shared" ref="S17:S26" si="19">(S$16-S$28)/(L$16-L$28)*L17+(S$28-(S$16-S$28)/(L$16-L$28)*L$28)</f>
        <v>18.842857142857142</v>
      </c>
      <c r="T17" s="21">
        <f t="shared" si="16"/>
        <v>21.1</v>
      </c>
      <c r="U17" s="21">
        <f>(U$9-U$18)/($L$9-$L$18)*$L17+(U$9-(U$9-U$18)/($L$9-$L$18)*$L$18)</f>
        <v>28.62222222222222</v>
      </c>
      <c r="V17" s="21">
        <f t="shared" si="18"/>
        <v>37.652631578947371</v>
      </c>
      <c r="W17" s="21">
        <f t="shared" si="17"/>
        <v>38.034999999999997</v>
      </c>
      <c r="Y17" s="128">
        <v>17</v>
      </c>
      <c r="Z17" s="130">
        <v>41</v>
      </c>
      <c r="AA17" s="41">
        <v>50</v>
      </c>
      <c r="AB17" s="24"/>
      <c r="AC17" s="41">
        <v>50</v>
      </c>
      <c r="AD17" s="128">
        <v>17</v>
      </c>
      <c r="AE17" s="24"/>
      <c r="AF17" s="62">
        <f>AF16</f>
        <v>92</v>
      </c>
      <c r="AG17" s="63"/>
      <c r="AH17" s="64">
        <f>$AL17</f>
        <v>7.5</v>
      </c>
      <c r="AI17" s="65"/>
      <c r="AJ17" s="65"/>
      <c r="AK17" s="46"/>
      <c r="AL17" s="66">
        <f>(Simulation!$D$13-(Simulation!$D$13*Simulation!$D$12))/2</f>
        <v>7.5</v>
      </c>
      <c r="AM17" s="47">
        <f t="shared" si="13"/>
        <v>9.625</v>
      </c>
      <c r="AN17" s="48">
        <f t="shared" si="8"/>
        <v>9.625</v>
      </c>
      <c r="AO17" s="47"/>
      <c r="AP17" s="47"/>
      <c r="AQ17" s="47"/>
      <c r="AR17" s="49"/>
      <c r="AS17" s="67">
        <f>AS16</f>
        <v>0</v>
      </c>
      <c r="AT17" s="51"/>
      <c r="AU17" s="68">
        <f>Simulation!$D$13</f>
        <v>30</v>
      </c>
      <c r="AV17" s="53">
        <f>$AU$5</f>
        <v>30</v>
      </c>
      <c r="AW17" s="52">
        <f t="shared" si="9"/>
        <v>17.5</v>
      </c>
      <c r="AX17" s="48">
        <f t="shared" si="5"/>
        <v>0</v>
      </c>
      <c r="AY17" s="19"/>
    </row>
    <row r="18" spans="1:51" x14ac:dyDescent="0.2">
      <c r="A18" s="75"/>
      <c r="B18" s="76"/>
      <c r="C18" s="76"/>
      <c r="D18" s="76"/>
      <c r="G18" s="19">
        <f t="shared" si="6"/>
        <v>250</v>
      </c>
      <c r="H18" s="28">
        <f t="shared" si="14"/>
        <v>16.524999999999999</v>
      </c>
      <c r="I18" s="28">
        <f t="shared" si="15"/>
        <v>14.274999999999999</v>
      </c>
      <c r="J18" s="28">
        <v>14.1</v>
      </c>
      <c r="L18" s="79">
        <f>L17-10</f>
        <v>250</v>
      </c>
      <c r="S18" s="21">
        <f t="shared" si="19"/>
        <v>18.185714285714283</v>
      </c>
      <c r="T18" s="21">
        <f t="shared" si="16"/>
        <v>20.3</v>
      </c>
      <c r="U18" s="40">
        <v>26.4</v>
      </c>
      <c r="V18" s="21">
        <f t="shared" si="18"/>
        <v>36.978947368421053</v>
      </c>
      <c r="W18" s="21">
        <f t="shared" si="17"/>
        <v>37.024999999999999</v>
      </c>
      <c r="Y18" s="127">
        <f>(Y17+Y19)/2</f>
        <v>18</v>
      </c>
      <c r="Z18" s="129">
        <v>43</v>
      </c>
      <c r="AA18" s="41">
        <v>52</v>
      </c>
      <c r="AB18" s="24"/>
      <c r="AC18" s="41">
        <v>52</v>
      </c>
      <c r="AD18" s="127">
        <f>(AD17+AD19)/2</f>
        <v>18</v>
      </c>
      <c r="AE18" s="24"/>
      <c r="AF18" s="62">
        <f>AF17+AI18</f>
        <v>116</v>
      </c>
      <c r="AG18" s="63"/>
      <c r="AH18" s="46"/>
      <c r="AI18" s="69">
        <f>IF(AJ18&gt;0,IF(Simulation!$C$10="Lithium",VLOOKUP(AJ18+$C$16,Tabella4[],3)-AF17,0),0)</f>
        <v>24</v>
      </c>
      <c r="AJ18" s="69">
        <f>IF(AF17&gt;7,VLOOKUP(AF17,Tabella44[],2),0)</f>
        <v>43</v>
      </c>
      <c r="AK18" s="46"/>
      <c r="AL18" s="70">
        <f>Simulation!$D$13*Simulation!$D$12</f>
        <v>15</v>
      </c>
      <c r="AM18" s="47">
        <f t="shared" si="13"/>
        <v>9.875</v>
      </c>
      <c r="AN18" s="48">
        <f t="shared" si="8"/>
        <v>9.875</v>
      </c>
      <c r="AO18" s="47"/>
      <c r="AP18" s="47"/>
      <c r="AQ18" s="47"/>
      <c r="AR18" s="49">
        <v>8</v>
      </c>
      <c r="AS18" s="60">
        <f>IF(AS17&gt;7,AS17-AT18,0)</f>
        <v>0</v>
      </c>
      <c r="AT18" s="61">
        <f>MROUND($C$10*$C$13/60,2)</f>
        <v>30</v>
      </c>
      <c r="AU18" s="44"/>
      <c r="AV18" s="45">
        <f>$C$13</f>
        <v>120</v>
      </c>
      <c r="AW18" s="52">
        <f t="shared" si="9"/>
        <v>19.5</v>
      </c>
      <c r="AX18" s="48">
        <f t="shared" si="5"/>
        <v>0</v>
      </c>
      <c r="AY18" s="19"/>
    </row>
    <row r="19" spans="1:51" x14ac:dyDescent="0.2">
      <c r="A19" s="75"/>
      <c r="B19" s="76"/>
      <c r="C19" s="76"/>
      <c r="D19" s="76"/>
      <c r="G19" s="19">
        <f>G18-5</f>
        <v>245</v>
      </c>
      <c r="H19" s="28">
        <f t="shared" si="14"/>
        <v>16.182500000000001</v>
      </c>
      <c r="I19" s="28">
        <f t="shared" si="15"/>
        <v>14.217499999999999</v>
      </c>
      <c r="J19" s="28">
        <v>13.6</v>
      </c>
      <c r="L19" s="19">
        <f>L18-5</f>
        <v>245</v>
      </c>
      <c r="S19" s="21">
        <f t="shared" si="19"/>
        <v>17.857142857142854</v>
      </c>
      <c r="T19" s="21">
        <f t="shared" si="16"/>
        <v>19.900000000000002</v>
      </c>
      <c r="U19" s="21">
        <f t="shared" ref="U19:U33" si="20">(U$18-U$35)/($L$18-$L$35)*$L19+(U$18-(U$18-U$35)/($L$18-$L$35)*$L$35)</f>
        <v>26.494117647058818</v>
      </c>
      <c r="V19" s="21">
        <f t="shared" si="18"/>
        <v>36.642105263157895</v>
      </c>
      <c r="W19" s="21">
        <f t="shared" si="17"/>
        <v>36.519999999999996</v>
      </c>
      <c r="Y19" s="128">
        <v>19</v>
      </c>
      <c r="Z19" s="130">
        <v>45</v>
      </c>
      <c r="AA19" s="41">
        <v>54</v>
      </c>
      <c r="AB19" s="24"/>
      <c r="AC19" s="41">
        <v>54</v>
      </c>
      <c r="AD19" s="128">
        <v>19</v>
      </c>
      <c r="AE19" s="24"/>
      <c r="AF19" s="71">
        <f>AF18</f>
        <v>116</v>
      </c>
      <c r="AG19" s="72"/>
      <c r="AH19" s="73"/>
      <c r="AI19" s="74"/>
      <c r="AJ19" s="74"/>
      <c r="AK19" s="64">
        <f>$AL19</f>
        <v>7.5</v>
      </c>
      <c r="AL19" s="66">
        <f>(Simulation!$D$13-(Simulation!$D$13*Simulation!$D$12))/2</f>
        <v>7.5</v>
      </c>
      <c r="AM19" s="47">
        <f t="shared" si="13"/>
        <v>10</v>
      </c>
      <c r="AN19" s="48">
        <f t="shared" si="8"/>
        <v>10</v>
      </c>
      <c r="AO19" s="47"/>
      <c r="AP19" s="47"/>
      <c r="AQ19" s="47"/>
      <c r="AR19" s="49"/>
      <c r="AS19" s="67">
        <f>AS18</f>
        <v>0</v>
      </c>
      <c r="AT19" s="51"/>
      <c r="AU19" s="68">
        <f>Simulation!$D$13</f>
        <v>30</v>
      </c>
      <c r="AV19" s="53">
        <f>$AU$5</f>
        <v>30</v>
      </c>
      <c r="AW19" s="52">
        <f t="shared" si="9"/>
        <v>20</v>
      </c>
      <c r="AX19" s="48">
        <f t="shared" si="5"/>
        <v>0</v>
      </c>
      <c r="AY19" s="19"/>
    </row>
    <row r="20" spans="1:51" x14ac:dyDescent="0.2">
      <c r="A20" s="75"/>
      <c r="B20" s="76"/>
      <c r="C20" s="76"/>
      <c r="D20" s="76"/>
      <c r="G20" s="19">
        <f t="shared" ref="G20:G67" si="21">G19-5</f>
        <v>240</v>
      </c>
      <c r="H20" s="28">
        <f t="shared" si="14"/>
        <v>15.84</v>
      </c>
      <c r="I20" s="28">
        <f t="shared" si="15"/>
        <v>14.16</v>
      </c>
      <c r="J20" s="39">
        <v>13.1</v>
      </c>
      <c r="L20" s="19">
        <f t="shared" ref="L20:L67" si="22">L19-5</f>
        <v>240</v>
      </c>
      <c r="S20" s="21">
        <f t="shared" si="19"/>
        <v>17.528571428571428</v>
      </c>
      <c r="T20" s="21">
        <f t="shared" si="16"/>
        <v>19.5</v>
      </c>
      <c r="U20" s="21">
        <f t="shared" si="20"/>
        <v>26.488235294117644</v>
      </c>
      <c r="V20" s="21">
        <f t="shared" si="18"/>
        <v>36.305263157894743</v>
      </c>
      <c r="W20" s="21">
        <f t="shared" si="17"/>
        <v>36.015000000000001</v>
      </c>
      <c r="Y20" s="127">
        <f>(Y19+Y21)/2</f>
        <v>20</v>
      </c>
      <c r="Z20" s="129">
        <v>47</v>
      </c>
      <c r="AA20" s="41">
        <v>56</v>
      </c>
      <c r="AB20" s="24"/>
      <c r="AC20" s="41">
        <v>56</v>
      </c>
      <c r="AD20" s="127">
        <f>(AD19+AD21)/2</f>
        <v>20</v>
      </c>
      <c r="AE20" s="24">
        <v>5</v>
      </c>
      <c r="AF20" s="54">
        <f>IF(AF19&gt;7,AF19-AG20,0)</f>
        <v>86</v>
      </c>
      <c r="AG20" s="55">
        <f>MROUND($C$10*$C$13/60,2)</f>
        <v>30</v>
      </c>
      <c r="AH20" s="56"/>
      <c r="AI20" s="57"/>
      <c r="AJ20" s="57"/>
      <c r="AK20" s="58"/>
      <c r="AL20" s="59">
        <f>$C$13</f>
        <v>120</v>
      </c>
      <c r="AM20" s="47">
        <f t="shared" si="13"/>
        <v>12</v>
      </c>
      <c r="AN20" s="48">
        <f t="shared" si="8"/>
        <v>12</v>
      </c>
      <c r="AO20" s="47"/>
      <c r="AP20" s="47"/>
      <c r="AQ20" s="47"/>
      <c r="AR20" s="49">
        <v>9</v>
      </c>
      <c r="AS20" s="60">
        <f>IF(AS19&gt;7,AS19-AT20,0)</f>
        <v>0</v>
      </c>
      <c r="AT20" s="61">
        <f>MROUND($C$10*$C$13/60,2)</f>
        <v>30</v>
      </c>
      <c r="AU20" s="44"/>
      <c r="AV20" s="45">
        <f>$C$13</f>
        <v>120</v>
      </c>
      <c r="AW20" s="52">
        <f t="shared" si="9"/>
        <v>22</v>
      </c>
      <c r="AX20" s="48">
        <f t="shared" si="5"/>
        <v>0</v>
      </c>
      <c r="AY20" s="19"/>
    </row>
    <row r="21" spans="1:51" x14ac:dyDescent="0.2">
      <c r="A21" s="75"/>
      <c r="B21" s="76"/>
      <c r="C21" s="76"/>
      <c r="D21" s="76"/>
      <c r="G21" s="19">
        <f t="shared" si="21"/>
        <v>235</v>
      </c>
      <c r="H21" s="28">
        <f t="shared" si="14"/>
        <v>15.497499999999999</v>
      </c>
      <c r="I21" s="28">
        <f t="shared" si="15"/>
        <v>14.102499999999999</v>
      </c>
      <c r="J21" s="28">
        <v>12.8</v>
      </c>
      <c r="L21" s="19">
        <f t="shared" si="22"/>
        <v>235</v>
      </c>
      <c r="R21" s="40">
        <v>12.5</v>
      </c>
      <c r="S21" s="21">
        <f t="shared" si="19"/>
        <v>17.2</v>
      </c>
      <c r="T21" s="21">
        <f t="shared" si="16"/>
        <v>19.100000000000001</v>
      </c>
      <c r="U21" s="21">
        <f t="shared" si="20"/>
        <v>26.482352941176465</v>
      </c>
      <c r="V21" s="21">
        <f t="shared" si="18"/>
        <v>35.968421052631584</v>
      </c>
      <c r="W21" s="21">
        <f t="shared" si="17"/>
        <v>35.510000000000005</v>
      </c>
      <c r="Y21" s="128">
        <v>21</v>
      </c>
      <c r="Z21" s="130">
        <v>48.5</v>
      </c>
      <c r="AA21" s="41">
        <v>56</v>
      </c>
      <c r="AB21" s="24"/>
      <c r="AC21" s="41">
        <v>56</v>
      </c>
      <c r="AD21" s="128">
        <v>21</v>
      </c>
      <c r="AE21" s="24"/>
      <c r="AF21" s="62">
        <f>AF20</f>
        <v>86</v>
      </c>
      <c r="AG21" s="63"/>
      <c r="AH21" s="64">
        <f>$AL21</f>
        <v>7.5</v>
      </c>
      <c r="AI21" s="65"/>
      <c r="AJ21" s="65"/>
      <c r="AK21" s="46"/>
      <c r="AL21" s="66">
        <f>(Simulation!$D$13-(Simulation!$D$13*Simulation!$D$12))/2</f>
        <v>7.5</v>
      </c>
      <c r="AM21" s="47">
        <f t="shared" si="13"/>
        <v>12.125</v>
      </c>
      <c r="AN21" s="48">
        <f t="shared" si="8"/>
        <v>12.125</v>
      </c>
      <c r="AO21" s="47"/>
      <c r="AP21" s="47"/>
      <c r="AQ21" s="47"/>
      <c r="AR21" s="49"/>
      <c r="AS21" s="67">
        <f>AS20</f>
        <v>0</v>
      </c>
      <c r="AT21" s="51"/>
      <c r="AU21" s="68">
        <f>Simulation!$D$13</f>
        <v>30</v>
      </c>
      <c r="AV21" s="53">
        <f>$AU$5</f>
        <v>30</v>
      </c>
      <c r="AW21" s="52">
        <f t="shared" si="9"/>
        <v>22.5</v>
      </c>
      <c r="AX21" s="48">
        <f t="shared" si="5"/>
        <v>0</v>
      </c>
      <c r="AY21" s="19"/>
    </row>
    <row r="22" spans="1:51" x14ac:dyDescent="0.2">
      <c r="A22" s="75"/>
      <c r="B22" s="76"/>
      <c r="C22" s="76"/>
      <c r="D22" s="76"/>
      <c r="G22" s="19">
        <f t="shared" si="21"/>
        <v>230</v>
      </c>
      <c r="H22" s="28">
        <f t="shared" si="14"/>
        <v>15.154999999999999</v>
      </c>
      <c r="I22" s="28">
        <f t="shared" si="15"/>
        <v>14.045</v>
      </c>
      <c r="J22" s="28">
        <v>12.5</v>
      </c>
      <c r="L22" s="19">
        <f t="shared" si="22"/>
        <v>230</v>
      </c>
      <c r="R22" s="21">
        <f t="shared" ref="R22:R31" si="23">(R$21-R$33)/(L$21-L$33)*L22+(R$21-(R$21-R$33)/(L$21-L$33)*L$21)</f>
        <v>12.358333333333334</v>
      </c>
      <c r="S22" s="21">
        <f t="shared" si="19"/>
        <v>16.871428571428574</v>
      </c>
      <c r="T22" s="21">
        <f>(T$13-T$23)/($L$13-$L$23)*$L22+(T$13-(T$13-T$23)/($L$13-$L$23)*$L$13)</f>
        <v>18.700000000000003</v>
      </c>
      <c r="U22" s="21">
        <f t="shared" si="20"/>
        <v>26.476470588235291</v>
      </c>
      <c r="V22" s="21">
        <f t="shared" si="18"/>
        <v>35.631578947368425</v>
      </c>
      <c r="W22" s="21">
        <f t="shared" si="17"/>
        <v>35.004999999999995</v>
      </c>
      <c r="Y22" s="127">
        <f>(Y21+Y23)/2</f>
        <v>22</v>
      </c>
      <c r="Z22" s="129">
        <v>50</v>
      </c>
      <c r="AA22" s="41">
        <v>58</v>
      </c>
      <c r="AB22" s="24"/>
      <c r="AC22" s="41">
        <v>58</v>
      </c>
      <c r="AD22" s="127">
        <f>(AD21+AD23)/2</f>
        <v>22</v>
      </c>
      <c r="AE22" s="24"/>
      <c r="AF22" s="62">
        <f>AF21+AI22</f>
        <v>110</v>
      </c>
      <c r="AG22" s="63"/>
      <c r="AH22" s="46"/>
      <c r="AI22" s="69">
        <f>IF(AJ22&gt;0,IF(Simulation!$C$10="Lithium",VLOOKUP(AJ22+$C$16,Tabella4[],3)-AF21,0),0)</f>
        <v>24</v>
      </c>
      <c r="AJ22" s="69">
        <f>IF(AF21&gt;7,VLOOKUP(AF21,Tabella44[],2),0)</f>
        <v>39</v>
      </c>
      <c r="AK22" s="46"/>
      <c r="AL22" s="70">
        <f>Simulation!$D$13*Simulation!$D$12</f>
        <v>15</v>
      </c>
      <c r="AM22" s="47">
        <f t="shared" si="13"/>
        <v>12.375</v>
      </c>
      <c r="AN22" s="48">
        <f t="shared" si="8"/>
        <v>12.375</v>
      </c>
      <c r="AO22" s="47"/>
      <c r="AP22" s="47"/>
      <c r="AQ22" s="47"/>
      <c r="AR22" s="49">
        <v>10</v>
      </c>
      <c r="AS22" s="60">
        <f>IF(AS21&gt;7,AS21-AT22,0)</f>
        <v>0</v>
      </c>
      <c r="AT22" s="61">
        <f>MROUND($C$10*$C$13/60,2)</f>
        <v>30</v>
      </c>
      <c r="AU22" s="44"/>
      <c r="AV22" s="45">
        <f>$C$13</f>
        <v>120</v>
      </c>
      <c r="AW22" s="52">
        <f t="shared" si="9"/>
        <v>24.5</v>
      </c>
      <c r="AX22" s="48">
        <f t="shared" si="5"/>
        <v>0</v>
      </c>
      <c r="AY22" s="19"/>
    </row>
    <row r="23" spans="1:51" x14ac:dyDescent="0.2">
      <c r="A23" s="75"/>
      <c r="B23" s="76"/>
      <c r="C23" s="76"/>
      <c r="D23" s="76"/>
      <c r="G23" s="19">
        <f t="shared" si="21"/>
        <v>225</v>
      </c>
      <c r="H23" s="28">
        <f t="shared" si="14"/>
        <v>14.812499999999998</v>
      </c>
      <c r="I23" s="28">
        <f t="shared" si="15"/>
        <v>13.987499999999999</v>
      </c>
      <c r="J23" s="28">
        <f>(J20+J26)/2</f>
        <v>12.2</v>
      </c>
      <c r="L23" s="19">
        <f t="shared" si="22"/>
        <v>225</v>
      </c>
      <c r="R23" s="21">
        <f t="shared" si="23"/>
        <v>12.216666666666667</v>
      </c>
      <c r="S23" s="21">
        <f t="shared" si="19"/>
        <v>16.542857142857144</v>
      </c>
      <c r="T23" s="40">
        <v>18.3</v>
      </c>
      <c r="U23" s="21">
        <f t="shared" si="20"/>
        <v>26.470588235294112</v>
      </c>
      <c r="V23" s="21">
        <f t="shared" si="18"/>
        <v>35.294736842105266</v>
      </c>
      <c r="W23" s="21">
        <f t="shared" si="17"/>
        <v>34.5</v>
      </c>
      <c r="Y23" s="128">
        <v>23</v>
      </c>
      <c r="Z23" s="130">
        <v>51.5</v>
      </c>
      <c r="AA23" s="41">
        <v>60</v>
      </c>
      <c r="AB23" s="24"/>
      <c r="AC23" s="41">
        <v>60</v>
      </c>
      <c r="AD23" s="128">
        <v>23</v>
      </c>
      <c r="AE23" s="24"/>
      <c r="AF23" s="71">
        <f>AF22</f>
        <v>110</v>
      </c>
      <c r="AG23" s="72"/>
      <c r="AH23" s="73"/>
      <c r="AI23" s="74"/>
      <c r="AJ23" s="74"/>
      <c r="AK23" s="64">
        <f>$AL23</f>
        <v>7.5</v>
      </c>
      <c r="AL23" s="66">
        <f>(Simulation!$D$13-(Simulation!$D$13*Simulation!$D$12))/2</f>
        <v>7.5</v>
      </c>
      <c r="AM23" s="47">
        <f t="shared" si="13"/>
        <v>12.5</v>
      </c>
      <c r="AN23" s="48">
        <f t="shared" si="8"/>
        <v>12.5</v>
      </c>
      <c r="AO23" s="47"/>
      <c r="AP23" s="47"/>
      <c r="AQ23" s="47"/>
      <c r="AR23" s="49"/>
      <c r="AS23" s="67">
        <f>AS22</f>
        <v>0</v>
      </c>
      <c r="AT23" s="51"/>
      <c r="AU23" s="68">
        <f>Simulation!$D$13</f>
        <v>30</v>
      </c>
      <c r="AV23" s="53">
        <f>$AU$5</f>
        <v>30</v>
      </c>
      <c r="AW23" s="52">
        <f t="shared" si="9"/>
        <v>25</v>
      </c>
      <c r="AX23" s="48">
        <f t="shared" si="5"/>
        <v>0</v>
      </c>
      <c r="AY23" s="19"/>
    </row>
    <row r="24" spans="1:51" x14ac:dyDescent="0.2">
      <c r="A24" s="75"/>
      <c r="B24" s="76"/>
      <c r="C24" s="76"/>
      <c r="D24" s="76"/>
      <c r="G24" s="19">
        <f t="shared" si="21"/>
        <v>220</v>
      </c>
      <c r="H24" s="28">
        <f t="shared" si="14"/>
        <v>14.469999999999999</v>
      </c>
      <c r="I24" s="28">
        <f t="shared" si="15"/>
        <v>13.93</v>
      </c>
      <c r="J24" s="28">
        <v>11.9</v>
      </c>
      <c r="L24" s="19">
        <f t="shared" si="22"/>
        <v>220</v>
      </c>
      <c r="R24" s="21">
        <f t="shared" si="23"/>
        <v>12.074999999999999</v>
      </c>
      <c r="S24" s="21">
        <f t="shared" si="19"/>
        <v>16.214285714285715</v>
      </c>
      <c r="T24" s="21">
        <f t="shared" ref="T24:T36" si="24">(T$23-T$38)/($L$23-$L$38)*$L24+(T$23-(T$23-T$38)/($L$23-$L$38)*$L$23)</f>
        <v>18.133333333333333</v>
      </c>
      <c r="U24" s="21">
        <f t="shared" si="20"/>
        <v>26.464705882352938</v>
      </c>
      <c r="V24" s="21">
        <f t="shared" si="18"/>
        <v>34.957894736842107</v>
      </c>
      <c r="W24" s="21">
        <f t="shared" si="17"/>
        <v>33.995000000000005</v>
      </c>
      <c r="Y24" s="127">
        <f>(Y23+Y25)/2</f>
        <v>24</v>
      </c>
      <c r="Z24" s="129">
        <v>53</v>
      </c>
      <c r="AA24" s="41">
        <v>62</v>
      </c>
      <c r="AB24" s="24"/>
      <c r="AC24" s="41">
        <v>62</v>
      </c>
      <c r="AD24" s="127">
        <f>(AD23+AD25)/2</f>
        <v>24</v>
      </c>
      <c r="AE24" s="24">
        <v>6</v>
      </c>
      <c r="AF24" s="54">
        <f>IF(AF23&gt;7,AF23-AG24,0)</f>
        <v>80</v>
      </c>
      <c r="AG24" s="55">
        <f>MROUND($C$10*$C$13/60,2)</f>
        <v>30</v>
      </c>
      <c r="AH24" s="56"/>
      <c r="AI24" s="57"/>
      <c r="AJ24" s="57"/>
      <c r="AK24" s="58"/>
      <c r="AL24" s="59">
        <f>$C$13</f>
        <v>120</v>
      </c>
      <c r="AM24" s="47">
        <f t="shared" si="13"/>
        <v>14.5</v>
      </c>
      <c r="AN24" s="48">
        <f t="shared" si="8"/>
        <v>14.5</v>
      </c>
      <c r="AO24" s="47"/>
      <c r="AP24" s="47"/>
      <c r="AQ24" s="47"/>
      <c r="AR24" s="49">
        <v>1</v>
      </c>
      <c r="AS24" s="60">
        <f>IF(AS23&gt;7,AS23-AT24,0)</f>
        <v>0</v>
      </c>
      <c r="AT24" s="61">
        <f>MROUND($C$10*$C$13/60,2)</f>
        <v>30</v>
      </c>
      <c r="AU24" s="44"/>
      <c r="AV24" s="45">
        <f>$C$13</f>
        <v>120</v>
      </c>
      <c r="AW24" s="52">
        <f t="shared" si="9"/>
        <v>27</v>
      </c>
      <c r="AX24" s="48">
        <f t="shared" si="5"/>
        <v>0</v>
      </c>
      <c r="AY24" s="19"/>
    </row>
    <row r="25" spans="1:51" x14ac:dyDescent="0.2">
      <c r="A25" s="75"/>
      <c r="B25" s="80"/>
      <c r="C25" s="76"/>
      <c r="D25" s="76"/>
      <c r="G25" s="19">
        <f t="shared" si="21"/>
        <v>215</v>
      </c>
      <c r="H25" s="28">
        <f t="shared" si="14"/>
        <v>14.127499999999998</v>
      </c>
      <c r="I25" s="28">
        <f t="shared" si="15"/>
        <v>13.872499999999999</v>
      </c>
      <c r="J25" s="28">
        <v>11.6</v>
      </c>
      <c r="L25" s="19">
        <f t="shared" si="22"/>
        <v>215</v>
      </c>
      <c r="R25" s="21">
        <f t="shared" si="23"/>
        <v>11.933333333333334</v>
      </c>
      <c r="S25" s="21">
        <f t="shared" si="19"/>
        <v>15.885714285714286</v>
      </c>
      <c r="T25" s="21">
        <f t="shared" si="24"/>
        <v>17.966666666666669</v>
      </c>
      <c r="U25" s="21">
        <f t="shared" si="20"/>
        <v>26.45882352941176</v>
      </c>
      <c r="V25" s="21">
        <f t="shared" si="18"/>
        <v>34.621052631578948</v>
      </c>
      <c r="W25" s="21">
        <f t="shared" si="17"/>
        <v>33.489999999999995</v>
      </c>
      <c r="Y25" s="128">
        <v>25</v>
      </c>
      <c r="Z25" s="130">
        <v>55</v>
      </c>
      <c r="AA25" s="41">
        <v>64</v>
      </c>
      <c r="AB25" s="24"/>
      <c r="AC25" s="41">
        <v>64</v>
      </c>
      <c r="AD25" s="128">
        <v>25</v>
      </c>
      <c r="AE25" s="24"/>
      <c r="AF25" s="62">
        <f>AF24</f>
        <v>80</v>
      </c>
      <c r="AG25" s="63"/>
      <c r="AH25" s="64">
        <f>$AL25</f>
        <v>7.5</v>
      </c>
      <c r="AI25" s="65"/>
      <c r="AJ25" s="65"/>
      <c r="AK25" s="46"/>
      <c r="AL25" s="66">
        <f>(Simulation!$D$13-(Simulation!$D$13*Simulation!$D$12))/2</f>
        <v>7.5</v>
      </c>
      <c r="AM25" s="47">
        <f t="shared" si="13"/>
        <v>14.625</v>
      </c>
      <c r="AN25" s="48">
        <f t="shared" si="8"/>
        <v>14.625</v>
      </c>
      <c r="AO25" s="47"/>
      <c r="AP25" s="47"/>
      <c r="AQ25" s="47"/>
      <c r="AR25" s="49"/>
      <c r="AS25" s="67">
        <f>AS24</f>
        <v>0</v>
      </c>
      <c r="AT25" s="51"/>
      <c r="AU25" s="68">
        <f>Simulation!$D$13</f>
        <v>30</v>
      </c>
      <c r="AV25" s="53">
        <f>$AU$5</f>
        <v>30</v>
      </c>
      <c r="AW25" s="52">
        <f t="shared" si="9"/>
        <v>27.5</v>
      </c>
      <c r="AX25" s="48">
        <f t="shared" si="5"/>
        <v>0</v>
      </c>
      <c r="AY25" s="19"/>
    </row>
    <row r="26" spans="1:51" x14ac:dyDescent="0.2">
      <c r="A26" s="81"/>
      <c r="B26" s="76"/>
      <c r="C26" s="77"/>
      <c r="D26" s="76"/>
      <c r="G26" s="19">
        <f t="shared" si="21"/>
        <v>210</v>
      </c>
      <c r="H26" s="28">
        <f t="shared" si="14"/>
        <v>13.784999999999998</v>
      </c>
      <c r="I26" s="28">
        <f t="shared" si="15"/>
        <v>13.815</v>
      </c>
      <c r="J26" s="39">
        <v>11.3</v>
      </c>
      <c r="L26" s="19">
        <f t="shared" si="22"/>
        <v>210</v>
      </c>
      <c r="R26" s="21">
        <f t="shared" si="23"/>
        <v>11.791666666666668</v>
      </c>
      <c r="S26" s="21">
        <f t="shared" si="19"/>
        <v>15.557142857142857</v>
      </c>
      <c r="T26" s="21">
        <f t="shared" si="24"/>
        <v>17.8</v>
      </c>
      <c r="U26" s="21">
        <f t="shared" si="20"/>
        <v>26.452941176470585</v>
      </c>
      <c r="V26" s="21">
        <f t="shared" si="18"/>
        <v>34.284210526315789</v>
      </c>
      <c r="W26" s="21">
        <f t="shared" si="17"/>
        <v>32.984999999999999</v>
      </c>
      <c r="Y26" s="127">
        <f>(Y25+Y27)/2</f>
        <v>26</v>
      </c>
      <c r="Z26" s="129">
        <v>57</v>
      </c>
      <c r="AA26" s="41">
        <v>66</v>
      </c>
      <c r="AB26" s="24"/>
      <c r="AC26" s="41">
        <v>66</v>
      </c>
      <c r="AD26" s="127">
        <f>(AD25+AD27)/2</f>
        <v>26</v>
      </c>
      <c r="AE26" s="24"/>
      <c r="AF26" s="62">
        <f>AF25+AI26</f>
        <v>104</v>
      </c>
      <c r="AG26" s="63"/>
      <c r="AH26" s="46"/>
      <c r="AI26" s="69">
        <f>IF(AJ26&gt;0,IF(Simulation!$C$10="Lithium",VLOOKUP(AJ26+$C$16,Tabella4[],3)-AF25,0),0)</f>
        <v>24</v>
      </c>
      <c r="AJ26" s="69">
        <f>IF(AF25&gt;7,VLOOKUP(AF25,Tabella44[],2),0)</f>
        <v>35</v>
      </c>
      <c r="AK26" s="46"/>
      <c r="AL26" s="70">
        <f>Simulation!$D$13*Simulation!$D$12</f>
        <v>15</v>
      </c>
      <c r="AM26" s="47">
        <f t="shared" si="13"/>
        <v>14.875</v>
      </c>
      <c r="AN26" s="48">
        <f t="shared" si="8"/>
        <v>14.875</v>
      </c>
      <c r="AO26" s="47"/>
      <c r="AP26" s="47"/>
      <c r="AQ26" s="47"/>
      <c r="AR26" s="49">
        <v>12</v>
      </c>
      <c r="AS26" s="60">
        <f>IF(AS25&gt;7,AS25-AT26,0)</f>
        <v>0</v>
      </c>
      <c r="AT26" s="61">
        <f>MROUND($C$10*$C$13/60,2)</f>
        <v>30</v>
      </c>
      <c r="AU26" s="44"/>
      <c r="AV26" s="45">
        <f>$C$13</f>
        <v>120</v>
      </c>
      <c r="AW26" s="52">
        <f t="shared" si="9"/>
        <v>29.5</v>
      </c>
      <c r="AX26" s="48">
        <f t="shared" si="5"/>
        <v>0</v>
      </c>
      <c r="AY26" s="19"/>
    </row>
    <row r="27" spans="1:51" x14ac:dyDescent="0.2">
      <c r="G27" s="19">
        <f t="shared" si="21"/>
        <v>205</v>
      </c>
      <c r="H27" s="28">
        <f>($H$13-$H$28)/($G$13-$G$28)*$G27+($H$13-($H$13-$H$28)/($G$13-$G$28)*$G$13)</f>
        <v>13.442499999999999</v>
      </c>
      <c r="I27" s="28">
        <f>($I$13-$I$28)/($G$13-$G$28)*$G27+($I$13-($I$13-$I$28)/($G$13-$G$28)*$G$13)</f>
        <v>13.7575</v>
      </c>
      <c r="J27" s="28">
        <v>11.1</v>
      </c>
      <c r="L27" s="19">
        <f t="shared" si="22"/>
        <v>205</v>
      </c>
      <c r="R27" s="21">
        <f t="shared" si="23"/>
        <v>11.65</v>
      </c>
      <c r="S27" s="21">
        <f>(S$16-S$28)/(L$16-L$28)*L27+(S$28-(S$16-S$28)/(L$16-L$28)*L$28)</f>
        <v>15.22857142857143</v>
      </c>
      <c r="T27" s="21">
        <f t="shared" si="24"/>
        <v>17.633333333333333</v>
      </c>
      <c r="U27" s="21">
        <f t="shared" si="20"/>
        <v>26.447058823529407</v>
      </c>
      <c r="V27" s="21">
        <f t="shared" si="18"/>
        <v>33.94736842105263</v>
      </c>
      <c r="W27" s="21">
        <f>(W$13-W$28)/($L$13-$L$28)*$L27+(W$13-(W$13-W$28)/($L$13-$L$28)*$L$13)</f>
        <v>32.480000000000004</v>
      </c>
      <c r="Y27" s="128">
        <v>27</v>
      </c>
      <c r="Z27" s="130">
        <v>58.5</v>
      </c>
      <c r="AA27" s="41">
        <v>66</v>
      </c>
      <c r="AB27" s="24"/>
      <c r="AC27" s="41">
        <v>66</v>
      </c>
      <c r="AD27" s="128">
        <v>27</v>
      </c>
      <c r="AE27" s="24"/>
      <c r="AF27" s="71">
        <f>AF26</f>
        <v>104</v>
      </c>
      <c r="AG27" s="72"/>
      <c r="AH27" s="73"/>
      <c r="AI27" s="74"/>
      <c r="AJ27" s="74"/>
      <c r="AK27" s="64">
        <f>$AL27</f>
        <v>7.5</v>
      </c>
      <c r="AL27" s="66">
        <f>(Simulation!$D$13-(Simulation!$D$13*Simulation!$D$12))/2</f>
        <v>7.5</v>
      </c>
      <c r="AM27" s="47">
        <f t="shared" si="13"/>
        <v>15</v>
      </c>
      <c r="AN27" s="48">
        <f t="shared" si="8"/>
        <v>15</v>
      </c>
      <c r="AO27" s="47"/>
      <c r="AP27" s="47"/>
      <c r="AQ27" s="47"/>
      <c r="AR27" s="49"/>
      <c r="AS27" s="67">
        <f>AS26</f>
        <v>0</v>
      </c>
      <c r="AT27" s="51"/>
      <c r="AU27" s="68">
        <f>Simulation!$D$13</f>
        <v>30</v>
      </c>
      <c r="AV27" s="53">
        <f>$AU$5</f>
        <v>30</v>
      </c>
      <c r="AW27" s="52">
        <f t="shared" si="9"/>
        <v>30</v>
      </c>
      <c r="AX27" s="48">
        <f t="shared" si="5"/>
        <v>0</v>
      </c>
      <c r="AY27" s="19"/>
    </row>
    <row r="28" spans="1:51" x14ac:dyDescent="0.2">
      <c r="G28" s="38">
        <f t="shared" si="21"/>
        <v>200</v>
      </c>
      <c r="H28" s="39">
        <v>13.1</v>
      </c>
      <c r="I28" s="39">
        <f>(13.3+14.1)/2</f>
        <v>13.7</v>
      </c>
      <c r="J28" s="30">
        <v>11</v>
      </c>
      <c r="L28" s="38">
        <f t="shared" si="22"/>
        <v>200</v>
      </c>
      <c r="Q28" s="40">
        <v>7.4</v>
      </c>
      <c r="R28" s="21">
        <f t="shared" si="23"/>
        <v>11.508333333333333</v>
      </c>
      <c r="S28" s="40">
        <v>14.9</v>
      </c>
      <c r="T28" s="21">
        <f t="shared" si="24"/>
        <v>17.466666666666669</v>
      </c>
      <c r="U28" s="21">
        <f t="shared" si="20"/>
        <v>26.441176470588232</v>
      </c>
      <c r="V28" s="21">
        <f t="shared" si="18"/>
        <v>33.610526315789478</v>
      </c>
      <c r="W28" s="40">
        <f>(23.1+38.8+30+36)/4</f>
        <v>31.975000000000001</v>
      </c>
      <c r="Y28" s="127">
        <f>(Y27+Y29)/2</f>
        <v>28</v>
      </c>
      <c r="Z28" s="129">
        <v>60</v>
      </c>
      <c r="AA28" s="41">
        <v>68</v>
      </c>
      <c r="AB28" s="24"/>
      <c r="AC28" s="41">
        <v>68</v>
      </c>
      <c r="AD28" s="127">
        <f>(AD27+AD29)/2</f>
        <v>28</v>
      </c>
      <c r="AE28" s="24">
        <v>7</v>
      </c>
      <c r="AF28" s="54">
        <f>IF(AF27&gt;7,AF27-AG28,0)</f>
        <v>74</v>
      </c>
      <c r="AG28" s="55">
        <f>MROUND($C$10*$C$13/60,2)</f>
        <v>30</v>
      </c>
      <c r="AH28" s="56"/>
      <c r="AI28" s="57"/>
      <c r="AJ28" s="57"/>
      <c r="AK28" s="58"/>
      <c r="AL28" s="59">
        <f>$C$13</f>
        <v>120</v>
      </c>
      <c r="AM28" s="47">
        <f t="shared" si="13"/>
        <v>17</v>
      </c>
      <c r="AN28" s="48">
        <f t="shared" si="8"/>
        <v>17</v>
      </c>
      <c r="AO28" s="47"/>
      <c r="AP28" s="47"/>
      <c r="AQ28" s="47"/>
      <c r="AR28" s="49">
        <v>13</v>
      </c>
      <c r="AS28" s="60">
        <f>IF(AS27&gt;7,AS27-AT28,0)</f>
        <v>0</v>
      </c>
      <c r="AT28" s="61">
        <f>MROUND($C$10*$C$13/60,2)</f>
        <v>30</v>
      </c>
      <c r="AU28" s="44"/>
      <c r="AV28" s="45">
        <f>$C$13</f>
        <v>120</v>
      </c>
      <c r="AW28" s="52">
        <f t="shared" si="9"/>
        <v>32</v>
      </c>
      <c r="AX28" s="48">
        <f t="shared" si="5"/>
        <v>0</v>
      </c>
      <c r="AY28" s="19"/>
    </row>
    <row r="29" spans="1:51" x14ac:dyDescent="0.2">
      <c r="G29" s="19">
        <f t="shared" si="21"/>
        <v>195</v>
      </c>
      <c r="H29" s="28">
        <f t="shared" ref="H29:H46" si="25">($H$28-$H$48)/($G$28-$G$48)*$G29+($H$28-($H$28-$H$48)/($G$28-$G$48)*$G$28)</f>
        <v>12.71</v>
      </c>
      <c r="I29" s="28">
        <f t="shared" ref="I29:I46" si="26">($I$28-$I$48)/($G$28-$G$48)*$G29+($I$28-($I$28-$I$48)/($G$28-$G$48)*$G$28)</f>
        <v>13.54</v>
      </c>
      <c r="J29" s="28">
        <f>(J26+J32)/2</f>
        <v>10.75</v>
      </c>
      <c r="L29" s="19">
        <f t="shared" si="22"/>
        <v>195</v>
      </c>
      <c r="Q29" s="21">
        <v>7.4</v>
      </c>
      <c r="R29" s="21">
        <f t="shared" si="23"/>
        <v>11.366666666666667</v>
      </c>
      <c r="S29" s="21">
        <f t="shared" ref="S29:S34" si="27">(S$28-S$36)/(L$28-L$36)*L29+(S$28-(S$28-S$36)/(L$28-L$36)*L$28)</f>
        <v>14.623076923076923</v>
      </c>
      <c r="T29" s="21">
        <f t="shared" si="24"/>
        <v>17.3</v>
      </c>
      <c r="U29" s="21">
        <f t="shared" si="20"/>
        <v>26.435294117647054</v>
      </c>
      <c r="V29" s="21">
        <f t="shared" si="18"/>
        <v>33.273684210526319</v>
      </c>
      <c r="W29" s="21">
        <f t="shared" ref="W29:W46" si="28">(W$28-W$48)/($L$28-$L$48)*$L29+(W$28-(W$28-W$48)/($L$28-$L$48)*$L$28)</f>
        <v>31.425000000000001</v>
      </c>
      <c r="Y29" s="128">
        <v>29</v>
      </c>
      <c r="Z29" s="130">
        <v>61.5</v>
      </c>
      <c r="AA29" s="41">
        <v>70</v>
      </c>
      <c r="AB29" s="24"/>
      <c r="AC29" s="41">
        <v>70</v>
      </c>
      <c r="AD29" s="128">
        <v>29</v>
      </c>
      <c r="AE29" s="24"/>
      <c r="AF29" s="62">
        <f>AF28</f>
        <v>74</v>
      </c>
      <c r="AG29" s="63"/>
      <c r="AH29" s="64">
        <f>$AL29</f>
        <v>7.5</v>
      </c>
      <c r="AI29" s="65"/>
      <c r="AJ29" s="65"/>
      <c r="AK29" s="46"/>
      <c r="AL29" s="66">
        <f>(Simulation!$D$13-(Simulation!$D$13*Simulation!$D$12))/2</f>
        <v>7.5</v>
      </c>
      <c r="AM29" s="47">
        <f t="shared" si="13"/>
        <v>17.125</v>
      </c>
      <c r="AN29" s="48">
        <f t="shared" si="8"/>
        <v>17.125</v>
      </c>
      <c r="AO29" s="47"/>
      <c r="AP29" s="47"/>
      <c r="AQ29" s="47"/>
      <c r="AR29" s="49"/>
      <c r="AS29" s="67">
        <f>AS28</f>
        <v>0</v>
      </c>
      <c r="AT29" s="51"/>
      <c r="AU29" s="68">
        <f>Simulation!$D$13</f>
        <v>30</v>
      </c>
      <c r="AV29" s="53">
        <f>$AU$5</f>
        <v>30</v>
      </c>
      <c r="AW29" s="52">
        <f t="shared" si="9"/>
        <v>32.5</v>
      </c>
      <c r="AX29" s="48">
        <f t="shared" si="5"/>
        <v>0</v>
      </c>
      <c r="AY29" s="19"/>
    </row>
    <row r="30" spans="1:51" x14ac:dyDescent="0.2">
      <c r="G30" s="19">
        <f t="shared" si="21"/>
        <v>190</v>
      </c>
      <c r="H30" s="28">
        <f t="shared" si="25"/>
        <v>12.32</v>
      </c>
      <c r="I30" s="28">
        <f t="shared" si="26"/>
        <v>13.379999999999999</v>
      </c>
      <c r="J30" s="28">
        <v>10.6</v>
      </c>
      <c r="L30" s="19">
        <f t="shared" si="22"/>
        <v>190</v>
      </c>
      <c r="Q30" s="21">
        <v>7.4</v>
      </c>
      <c r="R30" s="21">
        <f t="shared" si="23"/>
        <v>11.225000000000001</v>
      </c>
      <c r="S30" s="21">
        <f t="shared" si="27"/>
        <v>14.346153846153845</v>
      </c>
      <c r="T30" s="21">
        <f t="shared" si="24"/>
        <v>17.133333333333333</v>
      </c>
      <c r="U30" s="21">
        <f t="shared" si="20"/>
        <v>26.429411764705879</v>
      </c>
      <c r="V30" s="21">
        <f>(V$15-V$31)/($L$15-$L$31)*$L30+(V$15-(V$15-V$31)/($L$15-$L$31)*$L$15)</f>
        <v>32.93684210526316</v>
      </c>
      <c r="W30" s="21">
        <f t="shared" si="28"/>
        <v>30.875</v>
      </c>
      <c r="Y30" s="127">
        <f>(Y29+Y31)/2</f>
        <v>30</v>
      </c>
      <c r="Z30" s="129">
        <v>63</v>
      </c>
      <c r="AA30" s="41">
        <v>72</v>
      </c>
      <c r="AB30" s="24"/>
      <c r="AC30" s="41">
        <v>72</v>
      </c>
      <c r="AD30" s="127">
        <f>(AD29+AD31)/2</f>
        <v>30</v>
      </c>
      <c r="AE30" s="24"/>
      <c r="AF30" s="62">
        <f>AF29+AI30</f>
        <v>98</v>
      </c>
      <c r="AG30" s="63"/>
      <c r="AH30" s="46"/>
      <c r="AI30" s="69">
        <f>IF(AJ30&gt;0,IF(Simulation!$C$10="Lithium",VLOOKUP(AJ30+$C$16,Tabella4[],3)-AF29,0),0)</f>
        <v>24</v>
      </c>
      <c r="AJ30" s="69">
        <f>IF(AF29&gt;7,VLOOKUP(AF29,Tabella44[],2),0)</f>
        <v>31</v>
      </c>
      <c r="AK30" s="46"/>
      <c r="AL30" s="70">
        <f>Simulation!$D$13*Simulation!$D$12</f>
        <v>15</v>
      </c>
      <c r="AM30" s="47">
        <f t="shared" si="13"/>
        <v>17.375</v>
      </c>
      <c r="AN30" s="48">
        <f t="shared" si="8"/>
        <v>17.375</v>
      </c>
      <c r="AO30" s="47"/>
      <c r="AP30" s="47"/>
      <c r="AQ30" s="47"/>
      <c r="AR30" s="49">
        <v>14</v>
      </c>
      <c r="AS30" s="60">
        <f>IF(AS29&gt;7,AS29-AT30,0)</f>
        <v>0</v>
      </c>
      <c r="AT30" s="61">
        <f>MROUND($C$10*$C$13/60,2)</f>
        <v>30</v>
      </c>
      <c r="AU30" s="44"/>
      <c r="AV30" s="45">
        <f>$C$13</f>
        <v>120</v>
      </c>
      <c r="AW30" s="52">
        <f t="shared" si="9"/>
        <v>34.5</v>
      </c>
      <c r="AX30" s="48">
        <f t="shared" si="5"/>
        <v>0</v>
      </c>
      <c r="AY30" s="19"/>
    </row>
    <row r="31" spans="1:51" x14ac:dyDescent="0.2">
      <c r="G31" s="19">
        <f t="shared" si="21"/>
        <v>185</v>
      </c>
      <c r="H31" s="28">
        <f t="shared" si="25"/>
        <v>11.93</v>
      </c>
      <c r="I31" s="28">
        <f t="shared" si="26"/>
        <v>13.219999999999999</v>
      </c>
      <c r="J31" s="28">
        <v>10.4</v>
      </c>
      <c r="L31" s="19">
        <f t="shared" si="22"/>
        <v>185</v>
      </c>
      <c r="Q31" s="21">
        <v>7.4</v>
      </c>
      <c r="R31" s="21">
        <f t="shared" si="23"/>
        <v>11.083333333333334</v>
      </c>
      <c r="S31" s="21">
        <f t="shared" si="27"/>
        <v>14.069230769230769</v>
      </c>
      <c r="T31" s="21">
        <f t="shared" si="24"/>
        <v>16.966666666666669</v>
      </c>
      <c r="U31" s="21">
        <f t="shared" si="20"/>
        <v>26.423529411764701</v>
      </c>
      <c r="V31" s="40">
        <v>32.6</v>
      </c>
      <c r="W31" s="21">
        <f t="shared" si="28"/>
        <v>30.325000000000003</v>
      </c>
      <c r="Y31" s="128">
        <v>31</v>
      </c>
      <c r="Z31" s="130">
        <v>65</v>
      </c>
      <c r="AA31" s="41">
        <v>74</v>
      </c>
      <c r="AB31" s="24"/>
      <c r="AC31" s="41">
        <v>74</v>
      </c>
      <c r="AD31" s="128">
        <v>31</v>
      </c>
      <c r="AE31" s="24"/>
      <c r="AF31" s="71">
        <f>AF30</f>
        <v>98</v>
      </c>
      <c r="AG31" s="72"/>
      <c r="AH31" s="73"/>
      <c r="AI31" s="74"/>
      <c r="AJ31" s="74"/>
      <c r="AK31" s="64">
        <f>$AL31</f>
        <v>7.5</v>
      </c>
      <c r="AL31" s="66">
        <f>(Simulation!$D$13-(Simulation!$D$13*Simulation!$D$12))/2</f>
        <v>7.5</v>
      </c>
      <c r="AM31" s="47">
        <f t="shared" si="13"/>
        <v>17.5</v>
      </c>
      <c r="AN31" s="48">
        <f t="shared" si="8"/>
        <v>17.5</v>
      </c>
      <c r="AO31" s="47"/>
      <c r="AP31" s="47"/>
      <c r="AQ31" s="47"/>
      <c r="AR31" s="49"/>
      <c r="AS31" s="67">
        <f>AS30</f>
        <v>0</v>
      </c>
      <c r="AT31" s="51"/>
      <c r="AU31" s="68">
        <f>Simulation!$D$13</f>
        <v>30</v>
      </c>
      <c r="AV31" s="53">
        <f>$AU$5</f>
        <v>30</v>
      </c>
      <c r="AW31" s="52">
        <f t="shared" si="9"/>
        <v>35</v>
      </c>
      <c r="AX31" s="48">
        <f t="shared" si="5"/>
        <v>0</v>
      </c>
      <c r="AY31" s="19"/>
    </row>
    <row r="32" spans="1:51" x14ac:dyDescent="0.2">
      <c r="G32" s="19">
        <f t="shared" si="21"/>
        <v>180</v>
      </c>
      <c r="H32" s="28">
        <f t="shared" si="25"/>
        <v>11.54</v>
      </c>
      <c r="I32" s="28">
        <f t="shared" si="26"/>
        <v>13.059999999999999</v>
      </c>
      <c r="J32" s="39">
        <v>10.199999999999999</v>
      </c>
      <c r="L32" s="19">
        <f t="shared" si="22"/>
        <v>180</v>
      </c>
      <c r="Q32" s="21">
        <v>7.4</v>
      </c>
      <c r="R32" s="21">
        <f>(R$21-R$33)/(L$21-L$33)*L32+(R$21-(R$21-R$33)/(L$21-L$33)*L$21)</f>
        <v>10.941666666666666</v>
      </c>
      <c r="S32" s="21">
        <f t="shared" si="27"/>
        <v>13.792307692307691</v>
      </c>
      <c r="T32" s="21">
        <f t="shared" si="24"/>
        <v>16.8</v>
      </c>
      <c r="U32" s="21">
        <f t="shared" si="20"/>
        <v>26.417647058823526</v>
      </c>
      <c r="V32" s="21">
        <f t="shared" ref="V32:V48" si="29">(V$31-V$50)/($L$31-$L$50)*$L32+(V$31-(V$31-V$50)/($L$31-$L$50)*$L$31)</f>
        <v>31.768421052631581</v>
      </c>
      <c r="W32" s="21">
        <f t="shared" si="28"/>
        <v>29.775000000000002</v>
      </c>
      <c r="Y32" s="127">
        <f>(Y31+Y33)/2</f>
        <v>32</v>
      </c>
      <c r="Z32" s="129">
        <v>67</v>
      </c>
      <c r="AA32" s="41">
        <v>76</v>
      </c>
      <c r="AB32" s="24"/>
      <c r="AC32" s="41">
        <v>76</v>
      </c>
      <c r="AD32" s="127">
        <f>(AD31+AD33)/2</f>
        <v>32</v>
      </c>
      <c r="AE32" s="24">
        <v>8</v>
      </c>
      <c r="AF32" s="54">
        <f>IF(AF31&gt;7,AF31-AG32,0)</f>
        <v>68</v>
      </c>
      <c r="AG32" s="55">
        <f>MROUND($C$10*$C$13/60,2)</f>
        <v>30</v>
      </c>
      <c r="AH32" s="56"/>
      <c r="AI32" s="57"/>
      <c r="AJ32" s="57"/>
      <c r="AK32" s="58"/>
      <c r="AL32" s="59">
        <f>$C$13</f>
        <v>120</v>
      </c>
      <c r="AM32" s="47">
        <f t="shared" si="13"/>
        <v>19.5</v>
      </c>
      <c r="AN32" s="48">
        <f t="shared" si="8"/>
        <v>19.5</v>
      </c>
      <c r="AO32" s="47"/>
      <c r="AP32" s="47"/>
      <c r="AQ32" s="47"/>
      <c r="AR32" s="49">
        <v>15</v>
      </c>
      <c r="AS32" s="60">
        <f>IF(AS31&gt;7,AS31-AT32,0)</f>
        <v>0</v>
      </c>
      <c r="AT32" s="61">
        <f>MROUND($C$10*$C$13/60,2)</f>
        <v>30</v>
      </c>
      <c r="AU32" s="44"/>
      <c r="AV32" s="45">
        <f>$C$13</f>
        <v>120</v>
      </c>
      <c r="AW32" s="52">
        <f t="shared" si="9"/>
        <v>37</v>
      </c>
      <c r="AX32" s="48">
        <f t="shared" si="5"/>
        <v>0</v>
      </c>
      <c r="AY32" s="19"/>
    </row>
    <row r="33" spans="7:51" x14ac:dyDescent="0.2">
      <c r="G33" s="19">
        <f t="shared" si="21"/>
        <v>175</v>
      </c>
      <c r="H33" s="28">
        <f t="shared" si="25"/>
        <v>11.15</v>
      </c>
      <c r="I33" s="28">
        <f t="shared" si="26"/>
        <v>12.899999999999999</v>
      </c>
      <c r="J33" s="82">
        <f>(J34+J32)/2</f>
        <v>9.85</v>
      </c>
      <c r="L33" s="19">
        <f t="shared" si="22"/>
        <v>175</v>
      </c>
      <c r="Q33" s="21">
        <v>7.4</v>
      </c>
      <c r="R33" s="40">
        <v>10.8</v>
      </c>
      <c r="S33" s="21">
        <f t="shared" si="27"/>
        <v>13.515384615384615</v>
      </c>
      <c r="T33" s="21">
        <f t="shared" si="24"/>
        <v>16.633333333333333</v>
      </c>
      <c r="U33" s="21">
        <f t="shared" si="20"/>
        <v>26.411764705882348</v>
      </c>
      <c r="V33" s="21">
        <f t="shared" si="29"/>
        <v>30.93684210526316</v>
      </c>
      <c r="W33" s="21">
        <f t="shared" si="28"/>
        <v>29.225000000000001</v>
      </c>
      <c r="Y33" s="128">
        <v>33</v>
      </c>
      <c r="Z33" s="130">
        <v>68.5</v>
      </c>
      <c r="AA33" s="41">
        <v>76</v>
      </c>
      <c r="AB33" s="24"/>
      <c r="AC33" s="41">
        <v>76</v>
      </c>
      <c r="AD33" s="128">
        <v>33</v>
      </c>
      <c r="AE33" s="24"/>
      <c r="AF33" s="62">
        <f>AF32</f>
        <v>68</v>
      </c>
      <c r="AG33" s="63"/>
      <c r="AH33" s="64">
        <f>$AL33</f>
        <v>7.5</v>
      </c>
      <c r="AI33" s="65"/>
      <c r="AJ33" s="65"/>
      <c r="AK33" s="46"/>
      <c r="AL33" s="66">
        <f>(Simulation!$D$13-(Simulation!$D$13*Simulation!$D$12))/2</f>
        <v>7.5</v>
      </c>
      <c r="AM33" s="47">
        <f t="shared" si="13"/>
        <v>19.625</v>
      </c>
      <c r="AN33" s="48">
        <f t="shared" si="8"/>
        <v>19.625</v>
      </c>
      <c r="AO33" s="47"/>
      <c r="AP33" s="47"/>
      <c r="AQ33" s="47"/>
      <c r="AR33" s="49"/>
      <c r="AS33" s="67">
        <f>AS32</f>
        <v>0</v>
      </c>
      <c r="AT33" s="51"/>
      <c r="AU33" s="68">
        <f>Simulation!$D$13</f>
        <v>30</v>
      </c>
      <c r="AV33" s="53">
        <f>$AU$5</f>
        <v>30</v>
      </c>
      <c r="AW33" s="52">
        <f t="shared" si="9"/>
        <v>37.5</v>
      </c>
      <c r="AX33" s="48">
        <f t="shared" si="5"/>
        <v>0</v>
      </c>
      <c r="AY33" s="19"/>
    </row>
    <row r="34" spans="7:51" x14ac:dyDescent="0.2">
      <c r="G34" s="19">
        <f t="shared" si="21"/>
        <v>170</v>
      </c>
      <c r="H34" s="28">
        <f t="shared" si="25"/>
        <v>10.76</v>
      </c>
      <c r="I34" s="28">
        <f t="shared" si="26"/>
        <v>12.739999999999998</v>
      </c>
      <c r="J34" s="28">
        <f>(J32+J36)/2</f>
        <v>9.5</v>
      </c>
      <c r="L34" s="19">
        <f t="shared" si="22"/>
        <v>170</v>
      </c>
      <c r="Q34" s="21">
        <v>7.4</v>
      </c>
      <c r="R34" s="21">
        <f t="shared" ref="R34:R43" si="30">(R$33-R$45)/(L$33-L$45)*L34+(R$33-(R$33-R$45)/(L$33-L$45)*L$33)</f>
        <v>10.616666666666667</v>
      </c>
      <c r="S34" s="21">
        <f t="shared" si="27"/>
        <v>13.238461538461538</v>
      </c>
      <c r="T34" s="21">
        <f t="shared" si="24"/>
        <v>16.466666666666669</v>
      </c>
      <c r="U34" s="21">
        <f>(U$18-U$35)/($L$18-$L$35)*$L34+(U$18-(U$18-U$35)/($L$18-$L$35)*$L$35)</f>
        <v>26.405882352941173</v>
      </c>
      <c r="V34" s="21">
        <f t="shared" si="29"/>
        <v>30.10526315789474</v>
      </c>
      <c r="W34" s="21">
        <f t="shared" si="28"/>
        <v>28.675000000000001</v>
      </c>
      <c r="Y34" s="127">
        <f>(Y33+Y35)/2</f>
        <v>34</v>
      </c>
      <c r="Z34" s="129">
        <v>70</v>
      </c>
      <c r="AA34" s="41">
        <v>78</v>
      </c>
      <c r="AB34" s="24"/>
      <c r="AC34" s="41">
        <v>78</v>
      </c>
      <c r="AD34" s="127">
        <f>(AD33+AD35)/2</f>
        <v>34</v>
      </c>
      <c r="AE34" s="24"/>
      <c r="AF34" s="62">
        <f>AF33+AI34</f>
        <v>92</v>
      </c>
      <c r="AG34" s="63"/>
      <c r="AH34" s="46"/>
      <c r="AI34" s="69">
        <f>IF(AJ34&gt;0,IF(Simulation!$C$10="Lithium",VLOOKUP(AJ34+$C$16,Tabella4[],3)-AF33,0),0)</f>
        <v>24</v>
      </c>
      <c r="AJ34" s="69">
        <f>IF(AF33&gt;7,VLOOKUP(AF33,Tabella44[],2),0)</f>
        <v>28</v>
      </c>
      <c r="AK34" s="46"/>
      <c r="AL34" s="70">
        <f>Simulation!$D$13*Simulation!$D$12</f>
        <v>15</v>
      </c>
      <c r="AM34" s="47">
        <f t="shared" si="13"/>
        <v>19.875</v>
      </c>
      <c r="AN34" s="48">
        <f t="shared" si="8"/>
        <v>19.875</v>
      </c>
      <c r="AO34" s="47"/>
      <c r="AP34" s="47"/>
      <c r="AQ34" s="47"/>
      <c r="AR34" s="49">
        <v>16</v>
      </c>
      <c r="AS34" s="60">
        <f>IF(AS33&gt;7,AS33-AT34,0)</f>
        <v>0</v>
      </c>
      <c r="AT34" s="61">
        <f>MROUND($C$10*$C$13/60,2)</f>
        <v>30</v>
      </c>
      <c r="AU34" s="44"/>
      <c r="AV34" s="45">
        <f>$C$13</f>
        <v>120</v>
      </c>
      <c r="AW34" s="52">
        <f t="shared" si="9"/>
        <v>39.5</v>
      </c>
      <c r="AX34" s="48">
        <f t="shared" si="5"/>
        <v>0</v>
      </c>
      <c r="AY34" s="19"/>
    </row>
    <row r="35" spans="7:51" x14ac:dyDescent="0.2">
      <c r="G35" s="19">
        <f t="shared" si="21"/>
        <v>165</v>
      </c>
      <c r="H35" s="28">
        <f t="shared" si="25"/>
        <v>10.37</v>
      </c>
      <c r="I35" s="28">
        <f t="shared" si="26"/>
        <v>12.58</v>
      </c>
      <c r="J35" s="82">
        <f>(J36+J34)/2</f>
        <v>9.15</v>
      </c>
      <c r="L35" s="19">
        <f t="shared" si="22"/>
        <v>165</v>
      </c>
      <c r="P35" s="40">
        <v>5.5</v>
      </c>
      <c r="Q35" s="21">
        <v>7.4</v>
      </c>
      <c r="R35" s="21">
        <f t="shared" si="30"/>
        <v>10.433333333333334</v>
      </c>
      <c r="S35" s="21">
        <f>(S$28-S$41)/(L$28-L$41)*L35+(S$28-(S$28-S$41)/(L$28-L$41)*L$28)</f>
        <v>12.961538461538462</v>
      </c>
      <c r="T35" s="21">
        <f t="shared" si="24"/>
        <v>16.3</v>
      </c>
      <c r="U35" s="40">
        <v>26.3</v>
      </c>
      <c r="V35" s="21">
        <f t="shared" si="29"/>
        <v>29.273684210526316</v>
      </c>
      <c r="W35" s="21">
        <f t="shared" si="28"/>
        <v>28.125</v>
      </c>
      <c r="Y35" s="128">
        <v>35</v>
      </c>
      <c r="Z35" s="130">
        <v>71.5</v>
      </c>
      <c r="AA35" s="41">
        <v>80</v>
      </c>
      <c r="AB35" s="24"/>
      <c r="AC35" s="41">
        <v>80</v>
      </c>
      <c r="AD35" s="128">
        <v>35</v>
      </c>
      <c r="AE35" s="24"/>
      <c r="AF35" s="71">
        <f>AF34</f>
        <v>92</v>
      </c>
      <c r="AG35" s="72"/>
      <c r="AH35" s="73"/>
      <c r="AI35" s="74"/>
      <c r="AJ35" s="74"/>
      <c r="AK35" s="64">
        <f>$AL35</f>
        <v>7.5</v>
      </c>
      <c r="AL35" s="66">
        <f>(Simulation!$D$13-(Simulation!$D$13*Simulation!$D$12))/2</f>
        <v>7.5</v>
      </c>
      <c r="AM35" s="47">
        <f t="shared" si="13"/>
        <v>20</v>
      </c>
      <c r="AN35" s="48">
        <f t="shared" si="8"/>
        <v>20</v>
      </c>
      <c r="AO35" s="47"/>
      <c r="AP35" s="47"/>
      <c r="AQ35" s="47"/>
      <c r="AR35" s="49"/>
      <c r="AS35" s="67">
        <f>AS34</f>
        <v>0</v>
      </c>
      <c r="AT35" s="51"/>
      <c r="AU35" s="68">
        <f>Simulation!$D$13</f>
        <v>30</v>
      </c>
      <c r="AV35" s="53">
        <f>$AU$5</f>
        <v>30</v>
      </c>
      <c r="AW35" s="52">
        <f t="shared" si="9"/>
        <v>40</v>
      </c>
      <c r="AX35" s="48">
        <f t="shared" si="5"/>
        <v>0</v>
      </c>
      <c r="AY35" s="19"/>
    </row>
    <row r="36" spans="7:51" x14ac:dyDescent="0.2">
      <c r="G36" s="19">
        <f t="shared" si="21"/>
        <v>160</v>
      </c>
      <c r="H36" s="28">
        <f t="shared" si="25"/>
        <v>9.98</v>
      </c>
      <c r="I36" s="28">
        <f t="shared" si="26"/>
        <v>12.42</v>
      </c>
      <c r="J36" s="83">
        <v>8.8000000000000007</v>
      </c>
      <c r="L36" s="19">
        <f t="shared" si="22"/>
        <v>160</v>
      </c>
      <c r="P36" s="21">
        <f t="shared" ref="P36:P41" si="31">(P$35-P$43)/(L$35-L$43)*L36+(P$35-(P$35-P$43)/(L$35-L$43)*L$35)</f>
        <v>5.2624999999999993</v>
      </c>
      <c r="Q36" s="21">
        <v>7.4</v>
      </c>
      <c r="R36" s="21">
        <f t="shared" si="30"/>
        <v>10.25</v>
      </c>
      <c r="S36" s="21">
        <f t="shared" ref="S36:S40" si="32">(S$28-S$41)/(L$28-L$41)*L36+(S$28-(S$28-S$41)/(L$28-L$41)*L$28)</f>
        <v>12.684615384615384</v>
      </c>
      <c r="T36" s="21">
        <f t="shared" si="24"/>
        <v>16.133333333333333</v>
      </c>
      <c r="U36" s="21">
        <f t="shared" ref="U36:U49" si="33">(U$35-U$51)/($L$35-$L$51)*$L36+(U$35-(U$35-U$51)/($L$35-$L$51)*$L$35)</f>
        <v>25.565625000000001</v>
      </c>
      <c r="V36" s="21">
        <f t="shared" si="29"/>
        <v>28.442105263157895</v>
      </c>
      <c r="W36" s="21">
        <f t="shared" si="28"/>
        <v>27.575000000000003</v>
      </c>
      <c r="Y36" s="127">
        <f>(Y35+Y37)/2</f>
        <v>36</v>
      </c>
      <c r="Z36" s="129">
        <v>73</v>
      </c>
      <c r="AA36" s="41">
        <v>82</v>
      </c>
      <c r="AB36" s="24"/>
      <c r="AC36" s="41">
        <v>82</v>
      </c>
      <c r="AD36" s="127">
        <f>(AD35+AD37)/2</f>
        <v>36</v>
      </c>
      <c r="AE36" s="24">
        <v>9</v>
      </c>
      <c r="AF36" s="54">
        <f>IF(AF35&gt;7,AF35-AG36,0)</f>
        <v>62</v>
      </c>
      <c r="AG36" s="55">
        <f>MROUND($C$10*$C$13/60,2)</f>
        <v>30</v>
      </c>
      <c r="AH36" s="56"/>
      <c r="AI36" s="57"/>
      <c r="AJ36" s="57"/>
      <c r="AK36" s="58"/>
      <c r="AL36" s="59">
        <f>$C$13</f>
        <v>120</v>
      </c>
      <c r="AM36" s="47">
        <f t="shared" si="13"/>
        <v>22</v>
      </c>
      <c r="AN36" s="48">
        <f t="shared" si="8"/>
        <v>22</v>
      </c>
      <c r="AO36" s="47"/>
      <c r="AP36" s="47"/>
      <c r="AQ36" s="47"/>
      <c r="AR36" s="49">
        <v>17</v>
      </c>
      <c r="AS36" s="60">
        <f>IF(AS35&gt;7,AS35-AT36,0)</f>
        <v>0</v>
      </c>
      <c r="AT36" s="61">
        <f>MROUND($C$10*$C$13/60,2)</f>
        <v>30</v>
      </c>
      <c r="AU36" s="44"/>
      <c r="AV36" s="45">
        <f>$C$13</f>
        <v>120</v>
      </c>
      <c r="AW36" s="52">
        <f t="shared" si="9"/>
        <v>42</v>
      </c>
      <c r="AX36" s="48">
        <f t="shared" si="5"/>
        <v>0</v>
      </c>
      <c r="AY36" s="19"/>
    </row>
    <row r="37" spans="7:51" x14ac:dyDescent="0.2">
      <c r="G37" s="19">
        <f t="shared" si="21"/>
        <v>155</v>
      </c>
      <c r="H37" s="28">
        <f t="shared" si="25"/>
        <v>9.59</v>
      </c>
      <c r="I37" s="28">
        <f t="shared" si="26"/>
        <v>12.26</v>
      </c>
      <c r="J37" s="28">
        <v>8.4</v>
      </c>
      <c r="L37" s="19">
        <f t="shared" si="22"/>
        <v>155</v>
      </c>
      <c r="P37" s="21">
        <f t="shared" si="31"/>
        <v>5.0249999999999995</v>
      </c>
      <c r="Q37" s="21">
        <v>7.4</v>
      </c>
      <c r="R37" s="21">
        <f t="shared" si="30"/>
        <v>10.066666666666666</v>
      </c>
      <c r="S37" s="21">
        <f t="shared" si="32"/>
        <v>12.407692307692308</v>
      </c>
      <c r="T37" s="21">
        <f>(T$23-T$38)/($L$23-$L$38)*$L37+(T$23-(T$23-T$38)/($L$23-$L$38)*$L$23)</f>
        <v>15.966666666666669</v>
      </c>
      <c r="U37" s="21">
        <f t="shared" si="33"/>
        <v>24.831249999999997</v>
      </c>
      <c r="V37" s="21">
        <f t="shared" si="29"/>
        <v>27.610526315789475</v>
      </c>
      <c r="W37" s="21">
        <f t="shared" si="28"/>
        <v>27.025000000000002</v>
      </c>
      <c r="Y37" s="128">
        <v>37</v>
      </c>
      <c r="Z37" s="130">
        <v>74.5</v>
      </c>
      <c r="AA37" s="41">
        <v>82</v>
      </c>
      <c r="AB37" s="24"/>
      <c r="AC37" s="41">
        <v>82</v>
      </c>
      <c r="AD37" s="128">
        <v>37</v>
      </c>
      <c r="AE37" s="24"/>
      <c r="AF37" s="62">
        <f>AF36</f>
        <v>62</v>
      </c>
      <c r="AG37" s="63"/>
      <c r="AH37" s="64">
        <f>$AL37</f>
        <v>7.5</v>
      </c>
      <c r="AI37" s="65"/>
      <c r="AJ37" s="65"/>
      <c r="AK37" s="46"/>
      <c r="AL37" s="66">
        <f>(Simulation!$D$13-(Simulation!$D$13*Simulation!$D$12))/2</f>
        <v>7.5</v>
      </c>
      <c r="AM37" s="47">
        <f t="shared" si="13"/>
        <v>22.125</v>
      </c>
      <c r="AN37" s="48">
        <f t="shared" si="8"/>
        <v>22.125</v>
      </c>
      <c r="AO37" s="47"/>
      <c r="AP37" s="47"/>
      <c r="AQ37" s="47"/>
      <c r="AR37" s="49"/>
      <c r="AS37" s="67">
        <f>AS36</f>
        <v>0</v>
      </c>
      <c r="AT37" s="51"/>
      <c r="AU37" s="68">
        <f>Simulation!$D$13</f>
        <v>30</v>
      </c>
      <c r="AV37" s="53">
        <f>$AU$5</f>
        <v>30</v>
      </c>
      <c r="AW37" s="52">
        <f t="shared" ref="AW37:AW68" si="34">((AW36*60)+AV37)/60</f>
        <v>42.5</v>
      </c>
      <c r="AX37" s="48">
        <f t="shared" si="5"/>
        <v>0</v>
      </c>
      <c r="AY37" s="19"/>
    </row>
    <row r="38" spans="7:51" x14ac:dyDescent="0.2">
      <c r="G38" s="19">
        <f t="shared" si="21"/>
        <v>150</v>
      </c>
      <c r="H38" s="28">
        <f t="shared" si="25"/>
        <v>9.1999999999999993</v>
      </c>
      <c r="I38" s="28">
        <f t="shared" si="26"/>
        <v>12.1</v>
      </c>
      <c r="J38" s="28">
        <v>8.1</v>
      </c>
      <c r="L38" s="19">
        <f t="shared" si="22"/>
        <v>150</v>
      </c>
      <c r="P38" s="21">
        <f t="shared" si="31"/>
        <v>4.7874999999999996</v>
      </c>
      <c r="Q38" s="40">
        <v>7.4</v>
      </c>
      <c r="R38" s="21">
        <f t="shared" si="30"/>
        <v>9.8833333333333329</v>
      </c>
      <c r="S38" s="21">
        <f t="shared" si="32"/>
        <v>12.13076923076923</v>
      </c>
      <c r="T38" s="40">
        <v>15.8</v>
      </c>
      <c r="U38" s="21">
        <f t="shared" si="33"/>
        <v>24.096874999999997</v>
      </c>
      <c r="V38" s="21">
        <f t="shared" si="29"/>
        <v>26.778947368421054</v>
      </c>
      <c r="W38" s="21">
        <f t="shared" si="28"/>
        <v>26.475000000000001</v>
      </c>
      <c r="Y38" s="127">
        <f>(Y37+Y39)/2</f>
        <v>38</v>
      </c>
      <c r="Z38" s="129">
        <v>76</v>
      </c>
      <c r="AA38" s="41">
        <v>84</v>
      </c>
      <c r="AB38" s="24"/>
      <c r="AC38" s="41">
        <v>84</v>
      </c>
      <c r="AD38" s="127">
        <f>(AD37+AD39)/2</f>
        <v>38</v>
      </c>
      <c r="AE38" s="24"/>
      <c r="AF38" s="62">
        <f>AF37+AI38</f>
        <v>86</v>
      </c>
      <c r="AG38" s="63"/>
      <c r="AH38" s="46"/>
      <c r="AI38" s="69">
        <f>IF(AJ38&gt;0,IF(Simulation!$C$10="Lithium",VLOOKUP(AJ38+$C$16,Tabella4[],3)-AF37,0),0)</f>
        <v>24</v>
      </c>
      <c r="AJ38" s="69">
        <f>IF(AF37&gt;7,VLOOKUP(AF37,Tabella44[],2),0)</f>
        <v>24</v>
      </c>
      <c r="AK38" s="46"/>
      <c r="AL38" s="70">
        <f>Simulation!$D$13*Simulation!$D$12</f>
        <v>15</v>
      </c>
      <c r="AM38" s="47">
        <f t="shared" si="13"/>
        <v>22.375</v>
      </c>
      <c r="AN38" s="48">
        <f t="shared" si="8"/>
        <v>22.375</v>
      </c>
      <c r="AO38" s="47"/>
      <c r="AP38" s="47"/>
      <c r="AQ38" s="47"/>
      <c r="AR38" s="49">
        <v>18</v>
      </c>
      <c r="AS38" s="60">
        <f>IF(AS37&gt;7,AS37-AT38,0)</f>
        <v>0</v>
      </c>
      <c r="AT38" s="61">
        <f>MROUND($C$10*$C$13/60,2)</f>
        <v>30</v>
      </c>
      <c r="AU38" s="44"/>
      <c r="AV38" s="45">
        <f>$C$13</f>
        <v>120</v>
      </c>
      <c r="AW38" s="52">
        <f t="shared" si="34"/>
        <v>44.5</v>
      </c>
      <c r="AX38" s="48">
        <f t="shared" si="5"/>
        <v>0</v>
      </c>
      <c r="AY38" s="19"/>
    </row>
    <row r="39" spans="7:51" x14ac:dyDescent="0.2">
      <c r="G39" s="19">
        <f t="shared" si="21"/>
        <v>145</v>
      </c>
      <c r="H39" s="28">
        <f t="shared" si="25"/>
        <v>8.81</v>
      </c>
      <c r="I39" s="28">
        <f t="shared" si="26"/>
        <v>11.94</v>
      </c>
      <c r="J39" s="83">
        <v>7.8</v>
      </c>
      <c r="L39" s="19">
        <f t="shared" si="22"/>
        <v>145</v>
      </c>
      <c r="P39" s="21">
        <f t="shared" si="31"/>
        <v>4.55</v>
      </c>
      <c r="Q39" s="82">
        <f t="shared" ref="Q39:Q46" si="35">(Q$38-Q$48)/(L$38-L$48)*L39+(Q$38-(Q$38-Q$48)/(L$38-L$48)*L$38)</f>
        <v>7.07</v>
      </c>
      <c r="R39" s="21">
        <f t="shared" si="30"/>
        <v>9.6999999999999993</v>
      </c>
      <c r="S39" s="21">
        <f t="shared" si="32"/>
        <v>11.853846153846154</v>
      </c>
      <c r="T39" s="21">
        <f t="shared" ref="T39:T51" si="36">(T$38-T$53)/($L$38-$L$53)*$L39+(T$38-(T$38-T$53)/($L$38-$L$53)*$L$38)</f>
        <v>15.386666666666667</v>
      </c>
      <c r="U39" s="21">
        <f t="shared" si="33"/>
        <v>23.362499999999997</v>
      </c>
      <c r="V39" s="21">
        <f t="shared" si="29"/>
        <v>25.947368421052634</v>
      </c>
      <c r="W39" s="21">
        <f t="shared" si="28"/>
        <v>25.925000000000001</v>
      </c>
      <c r="Y39" s="128">
        <v>39</v>
      </c>
      <c r="Z39" s="130">
        <v>78</v>
      </c>
      <c r="AA39" s="41">
        <v>86</v>
      </c>
      <c r="AB39" s="24"/>
      <c r="AC39" s="41">
        <v>86</v>
      </c>
      <c r="AD39" s="128">
        <v>39</v>
      </c>
      <c r="AE39" s="24"/>
      <c r="AF39" s="71">
        <f>AF38</f>
        <v>86</v>
      </c>
      <c r="AG39" s="72"/>
      <c r="AH39" s="73"/>
      <c r="AI39" s="74"/>
      <c r="AJ39" s="74"/>
      <c r="AK39" s="64">
        <f>$AL39</f>
        <v>7.5</v>
      </c>
      <c r="AL39" s="66">
        <f>(Simulation!$D$13-(Simulation!$D$13*Simulation!$D$12))/2</f>
        <v>7.5</v>
      </c>
      <c r="AM39" s="47">
        <f t="shared" si="13"/>
        <v>22.5</v>
      </c>
      <c r="AN39" s="48">
        <f t="shared" si="8"/>
        <v>22.5</v>
      </c>
      <c r="AO39" s="47"/>
      <c r="AP39" s="47"/>
      <c r="AQ39" s="47"/>
      <c r="AR39" s="49"/>
      <c r="AS39" s="67">
        <f>AS38</f>
        <v>0</v>
      </c>
      <c r="AT39" s="51"/>
      <c r="AU39" s="68">
        <f>Simulation!$D$13</f>
        <v>30</v>
      </c>
      <c r="AV39" s="53">
        <f>$AU$5</f>
        <v>30</v>
      </c>
      <c r="AW39" s="52">
        <f t="shared" si="34"/>
        <v>45</v>
      </c>
      <c r="AX39" s="48">
        <f t="shared" si="5"/>
        <v>0</v>
      </c>
      <c r="AY39" s="19"/>
    </row>
    <row r="40" spans="7:51" x14ac:dyDescent="0.2">
      <c r="G40" s="19">
        <f t="shared" si="21"/>
        <v>140</v>
      </c>
      <c r="H40" s="28">
        <f t="shared" si="25"/>
        <v>8.42</v>
      </c>
      <c r="I40" s="28">
        <f t="shared" si="26"/>
        <v>11.780000000000001</v>
      </c>
      <c r="J40" s="82">
        <f>(J41+J39)/2</f>
        <v>7.6999999999999993</v>
      </c>
      <c r="L40" s="19">
        <f t="shared" si="22"/>
        <v>140</v>
      </c>
      <c r="P40" s="21">
        <f t="shared" si="31"/>
        <v>4.3125</v>
      </c>
      <c r="Q40" s="82">
        <f t="shared" si="35"/>
        <v>6.74</v>
      </c>
      <c r="R40" s="21">
        <f t="shared" si="30"/>
        <v>9.5166666666666657</v>
      </c>
      <c r="S40" s="21">
        <f t="shared" si="32"/>
        <v>11.576923076923077</v>
      </c>
      <c r="T40" s="21">
        <f t="shared" si="36"/>
        <v>14.973333333333334</v>
      </c>
      <c r="U40" s="21">
        <f t="shared" si="33"/>
        <v>22.628124999999997</v>
      </c>
      <c r="V40" s="21">
        <f t="shared" si="29"/>
        <v>25.115789473684213</v>
      </c>
      <c r="W40" s="21">
        <f t="shared" si="28"/>
        <v>25.375</v>
      </c>
      <c r="Y40" s="127">
        <f>(Y39+Y41)/2</f>
        <v>40</v>
      </c>
      <c r="Z40" s="129">
        <v>80</v>
      </c>
      <c r="AA40" s="41">
        <v>88</v>
      </c>
      <c r="AB40" s="24"/>
      <c r="AC40" s="41">
        <v>88</v>
      </c>
      <c r="AD40" s="127">
        <f>(AD39+AD41)/2</f>
        <v>40</v>
      </c>
      <c r="AE40" s="24">
        <v>10</v>
      </c>
      <c r="AF40" s="54">
        <f>IF(AF39&gt;7,AF39-AG40,0)</f>
        <v>56</v>
      </c>
      <c r="AG40" s="55">
        <f>MROUND($C$10*$C$13/60,2)</f>
        <v>30</v>
      </c>
      <c r="AH40" s="56"/>
      <c r="AI40" s="57"/>
      <c r="AJ40" s="57"/>
      <c r="AK40" s="58"/>
      <c r="AL40" s="59">
        <f>$C$13</f>
        <v>120</v>
      </c>
      <c r="AM40" s="47">
        <f t="shared" si="13"/>
        <v>24.5</v>
      </c>
      <c r="AN40" s="48">
        <f t="shared" si="8"/>
        <v>24.5</v>
      </c>
      <c r="AO40" s="47"/>
      <c r="AP40" s="47"/>
      <c r="AQ40" s="47"/>
      <c r="AR40" s="49">
        <v>19</v>
      </c>
      <c r="AS40" s="60">
        <f>IF(AS39&gt;7,AS39-AT40,0)</f>
        <v>0</v>
      </c>
      <c r="AT40" s="61">
        <f>MROUND($C$10*$C$13/60,2)</f>
        <v>30</v>
      </c>
      <c r="AU40" s="44"/>
      <c r="AV40" s="45">
        <f>$C$13</f>
        <v>120</v>
      </c>
      <c r="AW40" s="52">
        <f t="shared" si="34"/>
        <v>47</v>
      </c>
      <c r="AX40" s="48">
        <f t="shared" si="5"/>
        <v>0</v>
      </c>
      <c r="AY40" s="19"/>
    </row>
    <row r="41" spans="7:51" x14ac:dyDescent="0.2">
      <c r="G41" s="19">
        <f t="shared" si="21"/>
        <v>135</v>
      </c>
      <c r="H41" s="28">
        <f t="shared" si="25"/>
        <v>8.0299999999999994</v>
      </c>
      <c r="I41" s="28">
        <f t="shared" si="26"/>
        <v>11.620000000000001</v>
      </c>
      <c r="J41" s="83">
        <v>7.6</v>
      </c>
      <c r="L41" s="19">
        <f t="shared" si="22"/>
        <v>135</v>
      </c>
      <c r="O41" s="40">
        <v>2.8</v>
      </c>
      <c r="P41" s="21">
        <f t="shared" si="31"/>
        <v>4.0749999999999993</v>
      </c>
      <c r="Q41" s="82">
        <f t="shared" si="35"/>
        <v>6.41</v>
      </c>
      <c r="R41" s="21">
        <f t="shared" si="30"/>
        <v>9.3333333333333321</v>
      </c>
      <c r="S41" s="40">
        <v>11.3</v>
      </c>
      <c r="T41" s="21">
        <f t="shared" si="36"/>
        <v>14.56</v>
      </c>
      <c r="U41" s="21">
        <f t="shared" si="33"/>
        <v>21.893749999999997</v>
      </c>
      <c r="V41" s="21">
        <f t="shared" si="29"/>
        <v>24.284210526315789</v>
      </c>
      <c r="W41" s="21">
        <f t="shared" si="28"/>
        <v>24.825000000000003</v>
      </c>
      <c r="Y41" s="128">
        <v>41</v>
      </c>
      <c r="Z41" s="130">
        <v>81.5</v>
      </c>
      <c r="AA41" s="41">
        <v>90</v>
      </c>
      <c r="AB41" s="24"/>
      <c r="AC41" s="41">
        <v>90</v>
      </c>
      <c r="AD41" s="128">
        <v>41</v>
      </c>
      <c r="AE41" s="24"/>
      <c r="AF41" s="62">
        <f>AF40</f>
        <v>56</v>
      </c>
      <c r="AG41" s="63"/>
      <c r="AH41" s="64">
        <f>$AL41</f>
        <v>7.5</v>
      </c>
      <c r="AI41" s="65"/>
      <c r="AJ41" s="65"/>
      <c r="AK41" s="46"/>
      <c r="AL41" s="66">
        <f>(Simulation!$D$13-(Simulation!$D$13*Simulation!$D$12))/2</f>
        <v>7.5</v>
      </c>
      <c r="AM41" s="47">
        <f t="shared" si="13"/>
        <v>24.625</v>
      </c>
      <c r="AN41" s="48">
        <f t="shared" si="8"/>
        <v>24.625</v>
      </c>
      <c r="AO41" s="47"/>
      <c r="AP41" s="47"/>
      <c r="AQ41" s="47"/>
      <c r="AR41" s="49"/>
      <c r="AS41" s="67">
        <f>AS40</f>
        <v>0</v>
      </c>
      <c r="AT41" s="51"/>
      <c r="AU41" s="68">
        <f>Simulation!$D$13</f>
        <v>30</v>
      </c>
      <c r="AV41" s="53">
        <f>$AU$5</f>
        <v>30</v>
      </c>
      <c r="AW41" s="52">
        <f t="shared" si="34"/>
        <v>47.5</v>
      </c>
      <c r="AX41" s="48">
        <f t="shared" si="5"/>
        <v>0</v>
      </c>
      <c r="AY41" s="19"/>
    </row>
    <row r="42" spans="7:51" x14ac:dyDescent="0.2">
      <c r="G42" s="19">
        <f t="shared" si="21"/>
        <v>130</v>
      </c>
      <c r="H42" s="28">
        <f t="shared" si="25"/>
        <v>7.6400000000000006</v>
      </c>
      <c r="I42" s="28">
        <f t="shared" si="26"/>
        <v>11.46</v>
      </c>
      <c r="J42" s="82">
        <f>(J43+J41)/2</f>
        <v>7.3999999999999995</v>
      </c>
      <c r="L42" s="19">
        <f t="shared" si="22"/>
        <v>130</v>
      </c>
      <c r="O42" s="21">
        <f t="shared" ref="O42:O46" si="37">(O$41-O$48)/(L$41-L$48)*L42+(O$41-(O$41-O$48)/(L$41-L$48)*L$41)</f>
        <v>2.6714285714285713</v>
      </c>
      <c r="P42" s="21">
        <f>(P$35-P$43)/(L$35-L$43)*L42+(P$35-(P$35-P$43)/(L$35-L$43)*L$35)</f>
        <v>3.8374999999999995</v>
      </c>
      <c r="Q42" s="82">
        <f t="shared" si="35"/>
        <v>6.08</v>
      </c>
      <c r="R42" s="21">
        <f t="shared" si="30"/>
        <v>9.1499999999999986</v>
      </c>
      <c r="S42" s="21">
        <f t="shared" ref="S42:S53" si="38">(S$41-S$55)/(L$41-L$55)*L42+(S$41-(S$41-S$55)/(L$41-L$55)*L$41)</f>
        <v>10.914285714285715</v>
      </c>
      <c r="T42" s="21">
        <f t="shared" si="36"/>
        <v>14.146666666666667</v>
      </c>
      <c r="U42" s="21">
        <f t="shared" si="33"/>
        <v>21.159374999999997</v>
      </c>
      <c r="V42" s="21">
        <f t="shared" si="29"/>
        <v>23.452631578947368</v>
      </c>
      <c r="W42" s="21">
        <f t="shared" si="28"/>
        <v>24.275000000000002</v>
      </c>
      <c r="Y42" s="127">
        <f>(Y41+Y43)/2</f>
        <v>42</v>
      </c>
      <c r="Z42" s="129">
        <v>83</v>
      </c>
      <c r="AA42" s="41">
        <v>92</v>
      </c>
      <c r="AB42" s="24"/>
      <c r="AC42" s="41">
        <v>92</v>
      </c>
      <c r="AD42" s="127">
        <f>(AD41+AD43)/2</f>
        <v>42</v>
      </c>
      <c r="AE42" s="24"/>
      <c r="AF42" s="62">
        <f>AF41+AI42</f>
        <v>82</v>
      </c>
      <c r="AG42" s="63"/>
      <c r="AH42" s="46"/>
      <c r="AI42" s="69">
        <f>IF(AJ42&gt;0,IF(Simulation!$C$10="Lithium",VLOOKUP(AJ42+$C$16,Tabella4[],3)-AF41,0),0)</f>
        <v>26</v>
      </c>
      <c r="AJ42" s="69">
        <f>IF(AF41&gt;7,VLOOKUP(AF41,Tabella44[],2),0)</f>
        <v>21</v>
      </c>
      <c r="AK42" s="46"/>
      <c r="AL42" s="70">
        <f>Simulation!$D$13*Simulation!$D$12</f>
        <v>15</v>
      </c>
      <c r="AM42" s="47">
        <f t="shared" si="13"/>
        <v>24.875</v>
      </c>
      <c r="AN42" s="48">
        <f t="shared" si="8"/>
        <v>24.875</v>
      </c>
      <c r="AO42" s="47"/>
      <c r="AP42" s="47"/>
      <c r="AQ42" s="47"/>
      <c r="AR42" s="49">
        <v>20</v>
      </c>
      <c r="AS42" s="60">
        <f>IF(AS41&gt;7,AS41-AT42,0)</f>
        <v>0</v>
      </c>
      <c r="AT42" s="61">
        <f>MROUND($C$10*$C$13/60,2)</f>
        <v>30</v>
      </c>
      <c r="AU42" s="44"/>
      <c r="AV42" s="45">
        <f>$C$13</f>
        <v>120</v>
      </c>
      <c r="AW42" s="52">
        <f t="shared" si="34"/>
        <v>49.5</v>
      </c>
      <c r="AX42" s="48">
        <f t="shared" si="5"/>
        <v>0</v>
      </c>
      <c r="AY42" s="19"/>
    </row>
    <row r="43" spans="7:51" x14ac:dyDescent="0.2">
      <c r="G43" s="19">
        <f t="shared" si="21"/>
        <v>125</v>
      </c>
      <c r="H43" s="28">
        <f t="shared" si="25"/>
        <v>7.25</v>
      </c>
      <c r="I43" s="28">
        <f t="shared" si="26"/>
        <v>11.3</v>
      </c>
      <c r="J43" s="28">
        <f>(J41+J45)/2</f>
        <v>7.1999999999999993</v>
      </c>
      <c r="L43" s="19">
        <f t="shared" si="22"/>
        <v>125</v>
      </c>
      <c r="O43" s="21">
        <f t="shared" si="37"/>
        <v>2.5428571428571427</v>
      </c>
      <c r="P43" s="40">
        <v>3.6</v>
      </c>
      <c r="Q43" s="82">
        <f t="shared" si="35"/>
        <v>5.75</v>
      </c>
      <c r="R43" s="21">
        <f t="shared" si="30"/>
        <v>8.966666666666665</v>
      </c>
      <c r="S43" s="21">
        <f t="shared" si="38"/>
        <v>10.528571428571428</v>
      </c>
      <c r="T43" s="21">
        <f t="shared" si="36"/>
        <v>13.733333333333334</v>
      </c>
      <c r="U43" s="21">
        <f t="shared" si="33"/>
        <v>20.424999999999997</v>
      </c>
      <c r="V43" s="21">
        <f t="shared" si="29"/>
        <v>22.621052631578948</v>
      </c>
      <c r="W43" s="21">
        <f t="shared" si="28"/>
        <v>23.725000000000001</v>
      </c>
      <c r="Y43" s="128">
        <v>43</v>
      </c>
      <c r="Z43" s="130">
        <v>84.5</v>
      </c>
      <c r="AA43" s="41">
        <v>92</v>
      </c>
      <c r="AB43" s="24"/>
      <c r="AC43" s="41">
        <v>92</v>
      </c>
      <c r="AD43" s="128">
        <v>43</v>
      </c>
      <c r="AE43" s="24"/>
      <c r="AF43" s="71">
        <f>AF42</f>
        <v>82</v>
      </c>
      <c r="AG43" s="72"/>
      <c r="AH43" s="73"/>
      <c r="AI43" s="74"/>
      <c r="AJ43" s="74"/>
      <c r="AK43" s="64">
        <f>$AL43</f>
        <v>7.5</v>
      </c>
      <c r="AL43" s="66">
        <f>(Simulation!$D$13-(Simulation!$D$13*Simulation!$D$12))/2</f>
        <v>7.5</v>
      </c>
      <c r="AM43" s="47">
        <f t="shared" si="13"/>
        <v>25</v>
      </c>
      <c r="AN43" s="48">
        <f t="shared" si="8"/>
        <v>25</v>
      </c>
      <c r="AO43" s="47"/>
      <c r="AP43" s="47"/>
      <c r="AQ43" s="47"/>
      <c r="AR43" s="49"/>
      <c r="AS43" s="67">
        <f>AS42</f>
        <v>0</v>
      </c>
      <c r="AT43" s="51"/>
      <c r="AU43" s="68">
        <f>Simulation!$D$13</f>
        <v>30</v>
      </c>
      <c r="AV43" s="53">
        <f>$AU$5</f>
        <v>30</v>
      </c>
      <c r="AW43" s="52">
        <f t="shared" si="34"/>
        <v>50</v>
      </c>
      <c r="AX43" s="48">
        <f t="shared" si="5"/>
        <v>0</v>
      </c>
      <c r="AY43" s="19"/>
    </row>
    <row r="44" spans="7:51" x14ac:dyDescent="0.2">
      <c r="G44" s="19">
        <f t="shared" si="21"/>
        <v>120</v>
      </c>
      <c r="H44" s="28">
        <f t="shared" si="25"/>
        <v>6.8599999999999994</v>
      </c>
      <c r="I44" s="28">
        <f t="shared" si="26"/>
        <v>11.14</v>
      </c>
      <c r="J44" s="82">
        <f>(J45+J43)/2</f>
        <v>7</v>
      </c>
      <c r="L44" s="19">
        <f t="shared" si="22"/>
        <v>120</v>
      </c>
      <c r="O44" s="21">
        <f t="shared" si="37"/>
        <v>2.4142857142857141</v>
      </c>
      <c r="P44" s="21">
        <v>3.6</v>
      </c>
      <c r="Q44" s="82">
        <f t="shared" si="35"/>
        <v>5.42</v>
      </c>
      <c r="R44" s="21">
        <f>(R$33-R$45)/(L$33-L$45)*L44+(R$33-(R$33-R$45)/(L$33-L$45)*L$33)</f>
        <v>8.7833333333333314</v>
      </c>
      <c r="S44" s="21">
        <f>(S$41-S$55)/($L$41-$L$55)*$L44+(S$41-(S$41-S$55)/($L$41-$L$55)*$L$41)</f>
        <v>10.142857142857142</v>
      </c>
      <c r="T44" s="21">
        <f t="shared" si="36"/>
        <v>13.32</v>
      </c>
      <c r="U44" s="21">
        <f t="shared" si="33"/>
        <v>19.690624999999997</v>
      </c>
      <c r="V44" s="21">
        <f t="shared" si="29"/>
        <v>21.789473684210527</v>
      </c>
      <c r="W44" s="21">
        <f t="shared" si="28"/>
        <v>23.175000000000001</v>
      </c>
      <c r="Y44" s="127">
        <f>(Y43+Y45)/2</f>
        <v>44</v>
      </c>
      <c r="Z44" s="129">
        <v>86</v>
      </c>
      <c r="AA44" s="41">
        <v>94</v>
      </c>
      <c r="AB44" s="24"/>
      <c r="AC44" s="41">
        <v>94</v>
      </c>
      <c r="AD44" s="127">
        <f>(AD43+AD45)/2</f>
        <v>44</v>
      </c>
      <c r="AE44" s="24">
        <v>11</v>
      </c>
      <c r="AF44" s="54">
        <f>IF(AF43&gt;7,AF43-AG44,0)</f>
        <v>52</v>
      </c>
      <c r="AG44" s="55">
        <f>MROUND($C$10*$C$13/60,2)</f>
        <v>30</v>
      </c>
      <c r="AH44" s="56"/>
      <c r="AI44" s="57"/>
      <c r="AJ44" s="57"/>
      <c r="AK44" s="58"/>
      <c r="AL44" s="59">
        <f>$C$13</f>
        <v>120</v>
      </c>
      <c r="AM44" s="47">
        <f t="shared" si="13"/>
        <v>27</v>
      </c>
      <c r="AN44" s="48">
        <f t="shared" si="8"/>
        <v>27</v>
      </c>
      <c r="AO44" s="47"/>
      <c r="AP44" s="47"/>
      <c r="AQ44" s="47"/>
      <c r="AR44" s="49">
        <v>21</v>
      </c>
      <c r="AS44" s="60">
        <f>IF(AS43&gt;7,AS43-AT44,0)</f>
        <v>0</v>
      </c>
      <c r="AT44" s="61">
        <f>MROUND($C$10*$C$13/60,2)</f>
        <v>30</v>
      </c>
      <c r="AU44" s="44"/>
      <c r="AV44" s="45">
        <f>$C$13</f>
        <v>120</v>
      </c>
      <c r="AW44" s="52">
        <f t="shared" si="34"/>
        <v>52</v>
      </c>
      <c r="AX44" s="48">
        <f t="shared" si="5"/>
        <v>0</v>
      </c>
      <c r="AY44" s="19"/>
    </row>
    <row r="45" spans="7:51" x14ac:dyDescent="0.2">
      <c r="G45" s="19">
        <f t="shared" si="21"/>
        <v>115</v>
      </c>
      <c r="H45" s="28">
        <f t="shared" si="25"/>
        <v>6.4700000000000006</v>
      </c>
      <c r="I45" s="28">
        <f t="shared" si="26"/>
        <v>10.98</v>
      </c>
      <c r="J45" s="84">
        <v>6.8</v>
      </c>
      <c r="L45" s="19">
        <f t="shared" si="22"/>
        <v>115</v>
      </c>
      <c r="O45" s="21">
        <f t="shared" si="37"/>
        <v>2.2857142857142856</v>
      </c>
      <c r="P45" s="21">
        <v>3.6</v>
      </c>
      <c r="Q45" s="82">
        <f t="shared" si="35"/>
        <v>5.09</v>
      </c>
      <c r="R45" s="40">
        <v>8.6</v>
      </c>
      <c r="S45" s="21">
        <f t="shared" si="38"/>
        <v>9.7571428571428562</v>
      </c>
      <c r="T45" s="21">
        <f t="shared" si="36"/>
        <v>12.906666666666666</v>
      </c>
      <c r="U45" s="21">
        <f t="shared" si="33"/>
        <v>18.956249999999997</v>
      </c>
      <c r="V45" s="21">
        <f t="shared" si="29"/>
        <v>20.957894736842107</v>
      </c>
      <c r="W45" s="21">
        <f t="shared" si="28"/>
        <v>22.625</v>
      </c>
      <c r="Y45" s="128">
        <v>45</v>
      </c>
      <c r="Z45" s="130">
        <v>87.5</v>
      </c>
      <c r="AA45" s="41">
        <v>96</v>
      </c>
      <c r="AB45" s="24"/>
      <c r="AC45" s="41">
        <v>96</v>
      </c>
      <c r="AD45" s="128">
        <v>45</v>
      </c>
      <c r="AE45" s="24"/>
      <c r="AF45" s="62">
        <f>AF44</f>
        <v>52</v>
      </c>
      <c r="AG45" s="63"/>
      <c r="AH45" s="64">
        <f>$AL45</f>
        <v>7.5</v>
      </c>
      <c r="AI45" s="65"/>
      <c r="AJ45" s="65"/>
      <c r="AK45" s="46"/>
      <c r="AL45" s="66">
        <f>(Simulation!$D$13-(Simulation!$D$13*Simulation!$D$12))/2</f>
        <v>7.5</v>
      </c>
      <c r="AM45" s="47">
        <f t="shared" si="13"/>
        <v>27.125</v>
      </c>
      <c r="AN45" s="48">
        <f t="shared" si="8"/>
        <v>27.125</v>
      </c>
      <c r="AO45" s="47"/>
      <c r="AP45" s="47"/>
      <c r="AQ45" s="47"/>
      <c r="AR45" s="49"/>
      <c r="AS45" s="67">
        <f>AS44</f>
        <v>0</v>
      </c>
      <c r="AT45" s="51"/>
      <c r="AU45" s="68">
        <f>Simulation!$D$13</f>
        <v>30</v>
      </c>
      <c r="AV45" s="53">
        <f>$AU$5</f>
        <v>30</v>
      </c>
      <c r="AW45" s="52">
        <f t="shared" si="34"/>
        <v>52.5</v>
      </c>
      <c r="AX45" s="48">
        <f t="shared" si="5"/>
        <v>0</v>
      </c>
      <c r="AY45" s="19"/>
    </row>
    <row r="46" spans="7:51" x14ac:dyDescent="0.2">
      <c r="G46" s="19">
        <f t="shared" si="21"/>
        <v>110</v>
      </c>
      <c r="H46" s="28">
        <f t="shared" si="25"/>
        <v>6.08</v>
      </c>
      <c r="I46" s="28">
        <f t="shared" si="26"/>
        <v>10.82</v>
      </c>
      <c r="J46" s="82">
        <f>(J47+J45)/2</f>
        <v>6.5250000000000004</v>
      </c>
      <c r="L46" s="19">
        <f t="shared" si="22"/>
        <v>110</v>
      </c>
      <c r="M46" s="82"/>
      <c r="N46" s="82"/>
      <c r="O46" s="21">
        <f t="shared" si="37"/>
        <v>2.157142857142857</v>
      </c>
      <c r="P46" s="82">
        <v>3.5</v>
      </c>
      <c r="Q46" s="82">
        <f t="shared" si="35"/>
        <v>4.76</v>
      </c>
      <c r="R46" s="21">
        <f t="shared" ref="R46:R54" si="39">(R$45-R$56)/(L$45-L$56)*L46+(R$45-(R$45-R$56)/(L$45-L$56)*L$45)</f>
        <v>8.4363636363636356</v>
      </c>
      <c r="S46" s="21">
        <f t="shared" si="38"/>
        <v>9.3714285714285719</v>
      </c>
      <c r="T46" s="21">
        <f t="shared" si="36"/>
        <v>12.493333333333334</v>
      </c>
      <c r="U46" s="21">
        <f t="shared" si="33"/>
        <v>18.221874999999997</v>
      </c>
      <c r="V46" s="21">
        <f t="shared" si="29"/>
        <v>20.126315789473686</v>
      </c>
      <c r="W46" s="21">
        <f t="shared" si="28"/>
        <v>22.075000000000003</v>
      </c>
      <c r="Y46" s="127">
        <f>(Y45+Y47)/2</f>
        <v>46</v>
      </c>
      <c r="Z46" s="129">
        <v>89</v>
      </c>
      <c r="AA46" s="41">
        <v>98</v>
      </c>
      <c r="AB46" s="24"/>
      <c r="AC46" s="41">
        <v>98</v>
      </c>
      <c r="AD46" s="127">
        <f>(AD45+AD47)/2</f>
        <v>46</v>
      </c>
      <c r="AE46" s="24"/>
      <c r="AF46" s="62">
        <f>AF45+AI46</f>
        <v>76</v>
      </c>
      <c r="AG46" s="63"/>
      <c r="AH46" s="46"/>
      <c r="AI46" s="69">
        <f>IF(AJ46&gt;0,IF(Simulation!$C$10="Lithium",VLOOKUP(AJ46+$C$16,Tabella4[],3)-AF45,0),0)</f>
        <v>24</v>
      </c>
      <c r="AJ46" s="69">
        <f>IF(AF45&gt;7,VLOOKUP(AF45,Tabella44[],2),0)</f>
        <v>18</v>
      </c>
      <c r="AK46" s="46"/>
      <c r="AL46" s="70">
        <f>Simulation!$D$13*Simulation!$D$12</f>
        <v>15</v>
      </c>
      <c r="AM46" s="47">
        <f t="shared" si="13"/>
        <v>27.375</v>
      </c>
      <c r="AN46" s="48">
        <f t="shared" si="8"/>
        <v>27.375</v>
      </c>
      <c r="AO46" s="47"/>
      <c r="AP46" s="47"/>
      <c r="AQ46" s="47"/>
      <c r="AR46" s="49">
        <v>22</v>
      </c>
      <c r="AS46" s="60">
        <f>IF(AS45&gt;7,AS45-AT46,0)</f>
        <v>0</v>
      </c>
      <c r="AT46" s="61">
        <f>MROUND($C$10*$C$13/60,2)</f>
        <v>30</v>
      </c>
      <c r="AU46" s="44"/>
      <c r="AV46" s="45">
        <f>$C$13</f>
        <v>120</v>
      </c>
      <c r="AW46" s="52">
        <f t="shared" si="34"/>
        <v>54.5</v>
      </c>
      <c r="AX46" s="48">
        <f t="shared" si="5"/>
        <v>0</v>
      </c>
      <c r="AY46" s="19"/>
    </row>
    <row r="47" spans="7:51" x14ac:dyDescent="0.2">
      <c r="G47" s="19">
        <f t="shared" si="21"/>
        <v>105</v>
      </c>
      <c r="H47" s="28">
        <f>($H$28-$H$48)/($G$28-$G$48)*$G47+($H$28-($H$28-$H$48)/($G$28-$G$48)*$G$28)</f>
        <v>5.6899999999999995</v>
      </c>
      <c r="I47" s="28">
        <f>($I$28-$I$48)/($G$28-$G$48)*$G47+($I$28-($I$28-$I$48)/($G$28-$G$48)*$G$28)</f>
        <v>10.66</v>
      </c>
      <c r="J47" s="28">
        <f>(J45+J49)/2</f>
        <v>6.25</v>
      </c>
      <c r="L47" s="19">
        <f t="shared" si="22"/>
        <v>105</v>
      </c>
      <c r="M47" s="82"/>
      <c r="N47" s="82"/>
      <c r="O47" s="21">
        <f>(O$41-O$48)/(L$41-L$48)*L47+(O$41-(O$41-O$48)/(L$41-L$48)*L$41)</f>
        <v>2.0285714285714285</v>
      </c>
      <c r="P47" s="82">
        <v>3.5</v>
      </c>
      <c r="Q47" s="82">
        <f>(Q$38-Q$48)/(L$38-L$48)*L47+(Q$38-(Q$38-Q$48)/(L$38-L$48)*L$38)</f>
        <v>4.43</v>
      </c>
      <c r="R47" s="21">
        <f t="shared" si="39"/>
        <v>8.2727272727272716</v>
      </c>
      <c r="S47" s="21">
        <f t="shared" si="38"/>
        <v>8.9857142857142858</v>
      </c>
      <c r="T47" s="21">
        <f t="shared" si="36"/>
        <v>12.08</v>
      </c>
      <c r="U47" s="21">
        <f t="shared" si="33"/>
        <v>17.487499999999997</v>
      </c>
      <c r="V47" s="21">
        <f t="shared" si="29"/>
        <v>19.294736842105262</v>
      </c>
      <c r="W47" s="21">
        <f>(W$28-W$48)/($L$28-$L$48)*$L47+(W$28-(W$28-W$48)/($L$28-$L$48)*$L$28)</f>
        <v>21.525000000000002</v>
      </c>
      <c r="Y47" s="128">
        <v>47</v>
      </c>
      <c r="Z47" s="130">
        <v>90.5</v>
      </c>
      <c r="AA47" s="41">
        <v>98</v>
      </c>
      <c r="AB47" s="24"/>
      <c r="AC47" s="41">
        <v>98</v>
      </c>
      <c r="AD47" s="128">
        <v>47</v>
      </c>
      <c r="AE47" s="24"/>
      <c r="AF47" s="71">
        <f>AF46</f>
        <v>76</v>
      </c>
      <c r="AG47" s="72"/>
      <c r="AH47" s="73"/>
      <c r="AI47" s="74"/>
      <c r="AJ47" s="74"/>
      <c r="AK47" s="64">
        <f>$AL47</f>
        <v>7.5</v>
      </c>
      <c r="AL47" s="66">
        <f>(Simulation!$D$13-(Simulation!$D$13*Simulation!$D$12))/2</f>
        <v>7.5</v>
      </c>
      <c r="AM47" s="47">
        <f t="shared" si="13"/>
        <v>27.5</v>
      </c>
      <c r="AN47" s="48">
        <f t="shared" si="8"/>
        <v>27.5</v>
      </c>
      <c r="AO47" s="47"/>
      <c r="AP47" s="47"/>
      <c r="AQ47" s="47"/>
      <c r="AR47" s="49"/>
      <c r="AS47" s="67">
        <f>AS46</f>
        <v>0</v>
      </c>
      <c r="AT47" s="51"/>
      <c r="AU47" s="68">
        <f>Simulation!$D$13</f>
        <v>30</v>
      </c>
      <c r="AV47" s="53">
        <f>$AU$5</f>
        <v>30</v>
      </c>
      <c r="AW47" s="52">
        <f t="shared" si="34"/>
        <v>55</v>
      </c>
      <c r="AX47" s="48">
        <f t="shared" si="5"/>
        <v>0</v>
      </c>
      <c r="AY47" s="19"/>
    </row>
    <row r="48" spans="7:51" x14ac:dyDescent="0.2">
      <c r="G48" s="38">
        <f t="shared" si="21"/>
        <v>100</v>
      </c>
      <c r="H48" s="40">
        <v>5.3</v>
      </c>
      <c r="I48" s="39">
        <f>(13+8)/2</f>
        <v>10.5</v>
      </c>
      <c r="J48" s="82">
        <f>(J49+J47)/2</f>
        <v>5.9749999999999996</v>
      </c>
      <c r="L48" s="38">
        <f t="shared" si="22"/>
        <v>100</v>
      </c>
      <c r="M48" s="82"/>
      <c r="N48" s="40">
        <v>1.2</v>
      </c>
      <c r="O48" s="40">
        <v>1.9</v>
      </c>
      <c r="P48" s="82">
        <v>3.4</v>
      </c>
      <c r="Q48" s="40">
        <v>4.0999999999999996</v>
      </c>
      <c r="R48" s="21">
        <f t="shared" si="39"/>
        <v>8.1090909090909093</v>
      </c>
      <c r="S48" s="21">
        <f t="shared" si="38"/>
        <v>8.6</v>
      </c>
      <c r="T48" s="21">
        <f t="shared" si="36"/>
        <v>11.666666666666666</v>
      </c>
      <c r="U48" s="21">
        <f t="shared" si="33"/>
        <v>16.753124999999997</v>
      </c>
      <c r="V48" s="21">
        <f t="shared" si="29"/>
        <v>18.463157894736842</v>
      </c>
      <c r="W48" s="40">
        <f>(20+21.9+15.9+26.1)/4</f>
        <v>20.975000000000001</v>
      </c>
      <c r="Y48" s="127">
        <f>(Y47+Y49)/2</f>
        <v>48</v>
      </c>
      <c r="Z48" s="129">
        <v>92</v>
      </c>
      <c r="AA48" s="41">
        <v>100</v>
      </c>
      <c r="AB48" s="24"/>
      <c r="AC48" s="41">
        <v>100</v>
      </c>
      <c r="AD48" s="127">
        <f>(AD47+AD49)/2</f>
        <v>48</v>
      </c>
      <c r="AE48" s="24">
        <v>12</v>
      </c>
      <c r="AF48" s="54">
        <f>IF(AF47&gt;7,AF47-AG48,0)</f>
        <v>46</v>
      </c>
      <c r="AG48" s="55">
        <f>MROUND($C$10*$C$13/60,2)</f>
        <v>30</v>
      </c>
      <c r="AH48" s="56"/>
      <c r="AI48" s="57"/>
      <c r="AJ48" s="57"/>
      <c r="AK48" s="58"/>
      <c r="AL48" s="59">
        <f>$C$13</f>
        <v>120</v>
      </c>
      <c r="AM48" s="47">
        <f t="shared" si="13"/>
        <v>29.5</v>
      </c>
      <c r="AN48" s="48">
        <f t="shared" si="8"/>
        <v>29.5</v>
      </c>
      <c r="AO48" s="47"/>
      <c r="AP48" s="47"/>
      <c r="AQ48" s="47"/>
      <c r="AR48" s="49">
        <v>23</v>
      </c>
      <c r="AS48" s="60">
        <f>IF(AS47&gt;7,AS47-AT48,0)</f>
        <v>0</v>
      </c>
      <c r="AT48" s="61">
        <f>MROUND($C$10*$C$13/60,2)</f>
        <v>30</v>
      </c>
      <c r="AU48" s="44"/>
      <c r="AV48" s="45">
        <f>$C$13</f>
        <v>120</v>
      </c>
      <c r="AW48" s="52">
        <f t="shared" si="34"/>
        <v>57</v>
      </c>
      <c r="AX48" s="48">
        <f t="shared" si="5"/>
        <v>0</v>
      </c>
      <c r="AY48" s="19"/>
    </row>
    <row r="49" spans="1:51" x14ac:dyDescent="0.2">
      <c r="G49" s="19">
        <f t="shared" si="21"/>
        <v>95</v>
      </c>
      <c r="H49" s="28">
        <f t="shared" ref="H49:H66" si="40">($H$48-$H$68)/($G$48-$G$68)*$G49+($H$48-($H$48-$H$68)/($G$48-$G$68)*$G$48)</f>
        <v>5.0350000000000001</v>
      </c>
      <c r="I49" s="30">
        <v>9</v>
      </c>
      <c r="J49" s="84">
        <v>5.7</v>
      </c>
      <c r="L49" s="19">
        <f t="shared" si="22"/>
        <v>95</v>
      </c>
      <c r="M49" s="82"/>
      <c r="N49" s="82">
        <v>1.2</v>
      </c>
      <c r="O49" s="82">
        <v>1.9</v>
      </c>
      <c r="P49" s="82">
        <v>3.4</v>
      </c>
      <c r="Q49" s="82">
        <v>4.0999999999999996</v>
      </c>
      <c r="R49" s="21">
        <f t="shared" si="39"/>
        <v>7.9454545454545444</v>
      </c>
      <c r="S49" s="21">
        <f t="shared" si="38"/>
        <v>8.2142857142857135</v>
      </c>
      <c r="T49" s="21">
        <f t="shared" si="36"/>
        <v>11.253333333333334</v>
      </c>
      <c r="U49" s="21">
        <f t="shared" si="33"/>
        <v>16.018749999999997</v>
      </c>
      <c r="V49" s="21">
        <f>(V$31-V$50)/($L$31-$L$50)*$L49+(V$31-(V$31-V$50)/($L$31-$L$50)*$L$31)</f>
        <v>17.631578947368421</v>
      </c>
      <c r="W49" s="21">
        <f>(W$28-W$48)/($L$28-$L$48)*$L49+(W$28-(W$28-W$48)/($L$28-$L$48)*$L$28)</f>
        <v>20.425000000000001</v>
      </c>
      <c r="Y49" s="128">
        <v>49</v>
      </c>
      <c r="Z49" s="130">
        <v>93.5</v>
      </c>
      <c r="AA49" s="41">
        <v>102</v>
      </c>
      <c r="AB49" s="24"/>
      <c r="AC49" s="41">
        <v>102</v>
      </c>
      <c r="AD49" s="128">
        <v>49</v>
      </c>
      <c r="AE49" s="24"/>
      <c r="AF49" s="62">
        <f>AF48</f>
        <v>46</v>
      </c>
      <c r="AG49" s="63"/>
      <c r="AH49" s="64">
        <f>$AL49</f>
        <v>7.5</v>
      </c>
      <c r="AI49" s="65"/>
      <c r="AJ49" s="65"/>
      <c r="AK49" s="46"/>
      <c r="AL49" s="66">
        <f>(Simulation!$D$13-(Simulation!$D$13*Simulation!$D$12))/2</f>
        <v>7.5</v>
      </c>
      <c r="AM49" s="47">
        <f t="shared" si="13"/>
        <v>29.625</v>
      </c>
      <c r="AN49" s="48">
        <f t="shared" si="8"/>
        <v>29.625</v>
      </c>
      <c r="AO49" s="47"/>
      <c r="AP49" s="47"/>
      <c r="AQ49" s="47"/>
      <c r="AR49" s="49"/>
      <c r="AS49" s="67">
        <f>AS48</f>
        <v>0</v>
      </c>
      <c r="AT49" s="51"/>
      <c r="AU49" s="68">
        <f>Simulation!$D$13</f>
        <v>30</v>
      </c>
      <c r="AV49" s="53">
        <f>$AU$5</f>
        <v>30</v>
      </c>
      <c r="AW49" s="52">
        <f t="shared" si="34"/>
        <v>57.5</v>
      </c>
      <c r="AX49" s="48">
        <f t="shared" si="5"/>
        <v>0</v>
      </c>
      <c r="AY49" s="19"/>
    </row>
    <row r="50" spans="1:51" s="86" customFormat="1" x14ac:dyDescent="0.2">
      <c r="A50" s="85"/>
      <c r="G50" s="87">
        <f t="shared" si="21"/>
        <v>90</v>
      </c>
      <c r="H50" s="28">
        <f t="shared" si="40"/>
        <v>4.7699999999999996</v>
      </c>
      <c r="I50" s="30">
        <v>7.8</v>
      </c>
      <c r="J50" s="82">
        <v>5.4</v>
      </c>
      <c r="L50" s="87">
        <f t="shared" si="22"/>
        <v>90</v>
      </c>
      <c r="M50" s="82"/>
      <c r="N50" s="82">
        <v>1.2</v>
      </c>
      <c r="O50" s="82">
        <v>1.9</v>
      </c>
      <c r="P50" s="82">
        <v>3.3</v>
      </c>
      <c r="Q50" s="82">
        <v>4.0999999999999996</v>
      </c>
      <c r="R50" s="21">
        <f t="shared" si="39"/>
        <v>7.7818181818181813</v>
      </c>
      <c r="S50" s="21">
        <f t="shared" si="38"/>
        <v>7.8285714285714283</v>
      </c>
      <c r="T50" s="21">
        <f t="shared" si="36"/>
        <v>10.84</v>
      </c>
      <c r="U50" s="21">
        <f>(U$35-U$51)/($L$35-$L$51)*$L50+(U$35-(U$35-U$51)/($L$35-$L$51)*$L$35)</f>
        <v>15.284374999999997</v>
      </c>
      <c r="V50" s="40">
        <v>16.8</v>
      </c>
      <c r="W50" s="21">
        <f>(W$28-W$48)/($L$28-$L$48)*$L50+(W$28-(W$28-W$48)/($L$28-$L$48)*$L$28)</f>
        <v>19.875</v>
      </c>
      <c r="Y50" s="127">
        <f>(Y49+Y51)/2</f>
        <v>50</v>
      </c>
      <c r="Z50" s="129">
        <v>95</v>
      </c>
      <c r="AA50" s="41">
        <v>104</v>
      </c>
      <c r="AB50" s="87"/>
      <c r="AC50" s="41">
        <v>104</v>
      </c>
      <c r="AD50" s="127">
        <f>(AD49+AD51)/2</f>
        <v>50</v>
      </c>
      <c r="AE50" s="87"/>
      <c r="AF50" s="62">
        <f>AF49+AI50</f>
        <v>72</v>
      </c>
      <c r="AG50" s="63"/>
      <c r="AH50" s="46"/>
      <c r="AI50" s="69">
        <f>IF(AJ50&gt;0,IF(Simulation!$C$10="Lithium",VLOOKUP(AJ50+$C$16,Tabella4[],3)-AF49,0),0)</f>
        <v>26</v>
      </c>
      <c r="AJ50" s="69">
        <f>IF(AF49&gt;7,VLOOKUP(AF49,Tabella44[],2),0)</f>
        <v>15</v>
      </c>
      <c r="AK50" s="46"/>
      <c r="AL50" s="70">
        <f>Simulation!$D$13*Simulation!$D$12</f>
        <v>15</v>
      </c>
      <c r="AM50" s="47">
        <f t="shared" si="13"/>
        <v>29.875</v>
      </c>
      <c r="AN50" s="48">
        <f t="shared" si="8"/>
        <v>29.875</v>
      </c>
      <c r="AO50" s="47"/>
      <c r="AP50" s="47"/>
      <c r="AQ50" s="47"/>
      <c r="AR50" s="49">
        <v>24</v>
      </c>
      <c r="AS50" s="60">
        <f>IF(AS49&gt;7,AS49-AT50,0)</f>
        <v>0</v>
      </c>
      <c r="AT50" s="61">
        <f>MROUND($C$10*$C$13/60,2)</f>
        <v>30</v>
      </c>
      <c r="AU50" s="44"/>
      <c r="AV50" s="45">
        <f>$C$13</f>
        <v>120</v>
      </c>
      <c r="AW50" s="52">
        <f t="shared" si="34"/>
        <v>59.5</v>
      </c>
      <c r="AX50" s="48">
        <f t="shared" si="5"/>
        <v>0</v>
      </c>
      <c r="AY50" s="87"/>
    </row>
    <row r="51" spans="1:51" x14ac:dyDescent="0.2">
      <c r="G51" s="19">
        <f t="shared" si="21"/>
        <v>85</v>
      </c>
      <c r="H51" s="28">
        <f t="shared" si="40"/>
        <v>4.5049999999999999</v>
      </c>
      <c r="I51" s="30">
        <v>7.7</v>
      </c>
      <c r="J51" s="82">
        <v>5.2</v>
      </c>
      <c r="L51" s="19">
        <f t="shared" si="22"/>
        <v>85</v>
      </c>
      <c r="M51" s="82"/>
      <c r="N51" s="82">
        <v>1.2</v>
      </c>
      <c r="O51" s="82">
        <v>1.9</v>
      </c>
      <c r="P51" s="40">
        <v>3.3</v>
      </c>
      <c r="Q51" s="82">
        <v>4.0999999999999996</v>
      </c>
      <c r="R51" s="21">
        <f t="shared" si="39"/>
        <v>7.6181818181818173</v>
      </c>
      <c r="S51" s="21">
        <f t="shared" si="38"/>
        <v>7.4428571428571422</v>
      </c>
      <c r="T51" s="21">
        <f t="shared" si="36"/>
        <v>10.426666666666666</v>
      </c>
      <c r="U51" s="40">
        <f>(9.7+19.4)/2</f>
        <v>14.549999999999999</v>
      </c>
      <c r="V51" s="21">
        <f>(V$31-V$50)/($L$31-$L$50)*$L51+(V$31-(V$31-V$50)/($L$31-$L$50)*$L$31)</f>
        <v>15.96842105263158</v>
      </c>
      <c r="W51" s="21">
        <f>(W$28-W$48)/($L$28-$L$48)*$L51+(W$28-(W$28-W$48)/($L$28-$L$48)*$L$28)</f>
        <v>19.325000000000003</v>
      </c>
      <c r="Y51" s="128">
        <v>51</v>
      </c>
      <c r="Z51" s="130">
        <v>96.5</v>
      </c>
      <c r="AA51" s="41">
        <v>104</v>
      </c>
      <c r="AB51" s="24"/>
      <c r="AC51" s="41">
        <v>104</v>
      </c>
      <c r="AD51" s="128">
        <v>51</v>
      </c>
      <c r="AE51" s="24"/>
      <c r="AF51" s="71">
        <f>AF50</f>
        <v>72</v>
      </c>
      <c r="AG51" s="72"/>
      <c r="AH51" s="73"/>
      <c r="AI51" s="74"/>
      <c r="AJ51" s="74"/>
      <c r="AK51" s="64">
        <f>$AL51</f>
        <v>7.5</v>
      </c>
      <c r="AL51" s="66">
        <f>(Simulation!$D$13-(Simulation!$D$13*Simulation!$D$12))/2</f>
        <v>7.5</v>
      </c>
      <c r="AM51" s="47">
        <f t="shared" si="13"/>
        <v>30</v>
      </c>
      <c r="AN51" s="48">
        <f t="shared" si="8"/>
        <v>30</v>
      </c>
      <c r="AO51" s="47"/>
      <c r="AP51" s="47"/>
      <c r="AQ51" s="47"/>
      <c r="AR51" s="49"/>
      <c r="AS51" s="67">
        <f>AS50</f>
        <v>0</v>
      </c>
      <c r="AT51" s="51"/>
      <c r="AU51" s="68">
        <f>Simulation!$D$13</f>
        <v>30</v>
      </c>
      <c r="AV51" s="53">
        <f>$AU$5</f>
        <v>30</v>
      </c>
      <c r="AW51" s="52">
        <f t="shared" si="34"/>
        <v>60</v>
      </c>
      <c r="AX51" s="48">
        <f t="shared" si="5"/>
        <v>0</v>
      </c>
      <c r="AY51" s="19"/>
    </row>
    <row r="52" spans="1:51" x14ac:dyDescent="0.2">
      <c r="G52" s="19">
        <f t="shared" si="21"/>
        <v>80</v>
      </c>
      <c r="H52" s="28">
        <f t="shared" si="40"/>
        <v>4.24</v>
      </c>
      <c r="I52" s="30">
        <v>7.7</v>
      </c>
      <c r="J52" s="84">
        <v>5</v>
      </c>
      <c r="L52" s="19">
        <f t="shared" si="22"/>
        <v>80</v>
      </c>
      <c r="M52" s="82"/>
      <c r="N52" s="82">
        <v>1.2</v>
      </c>
      <c r="O52" s="82">
        <v>1.9</v>
      </c>
      <c r="P52" s="82">
        <v>3.3</v>
      </c>
      <c r="Q52" s="82">
        <v>4</v>
      </c>
      <c r="R52" s="21">
        <f t="shared" si="39"/>
        <v>7.4545454545454533</v>
      </c>
      <c r="S52" s="21">
        <f t="shared" si="38"/>
        <v>7.0571428571428569</v>
      </c>
      <c r="T52" s="21">
        <f>(T$38-T$53)/($L$38-$L$53)*$L52+(T$38-(T$38-T$53)/($L$38-$L$53)*$L$38)</f>
        <v>10.013333333333332</v>
      </c>
      <c r="U52" s="21">
        <f>(U$35-U$51)/($L$35-$L$51)*$L52+(U$35-(U$35-U$51)/($L$35-$L$51)*$L$35)</f>
        <v>13.815624999999997</v>
      </c>
      <c r="V52" s="21">
        <f t="shared" ref="V52:V67" si="41">(V$31-V$50)/($L$31-$L$50)*$L52+(V$31-(V$31-V$50)/($L$31-$L$50)*$L$31)</f>
        <v>15.136842105263158</v>
      </c>
      <c r="W52" s="21">
        <f>(W$28-W$48)/($L$28-$L$48)*$L52+(W$28-(W$28-W$48)/($L$28-$L$48)*$L$28)</f>
        <v>18.775000000000002</v>
      </c>
      <c r="Y52" s="127">
        <f>(Y51+Y53)/2</f>
        <v>52</v>
      </c>
      <c r="Z52" s="129">
        <v>98</v>
      </c>
      <c r="AA52" s="41">
        <v>106</v>
      </c>
      <c r="AB52" s="24"/>
      <c r="AC52" s="41">
        <v>106</v>
      </c>
      <c r="AD52" s="127">
        <f>(AD51+AD53)/2</f>
        <v>52</v>
      </c>
      <c r="AE52" s="24">
        <v>13</v>
      </c>
      <c r="AF52" s="54">
        <f>IF(AF51&gt;7,AF51-AG52,0)</f>
        <v>42</v>
      </c>
      <c r="AG52" s="55">
        <f>MROUND($C$10*$C$13/60,2)</f>
        <v>30</v>
      </c>
      <c r="AH52" s="56"/>
      <c r="AI52" s="57"/>
      <c r="AJ52" s="57"/>
      <c r="AK52" s="58"/>
      <c r="AL52" s="59">
        <f>$C$13</f>
        <v>120</v>
      </c>
      <c r="AM52" s="47">
        <f t="shared" si="13"/>
        <v>32</v>
      </c>
      <c r="AN52" s="48">
        <f t="shared" si="8"/>
        <v>32</v>
      </c>
      <c r="AO52" s="47"/>
      <c r="AP52" s="47"/>
      <c r="AQ52" s="47"/>
      <c r="AR52" s="49">
        <v>25</v>
      </c>
      <c r="AS52" s="60">
        <f>IF(AS51&gt;7,AS51-AT52,0)</f>
        <v>0</v>
      </c>
      <c r="AT52" s="61">
        <f>MROUND($C$10*$C$13/60,2)</f>
        <v>30</v>
      </c>
      <c r="AU52" s="44"/>
      <c r="AV52" s="45">
        <f>$C$13</f>
        <v>120</v>
      </c>
      <c r="AW52" s="52">
        <f t="shared" si="34"/>
        <v>62</v>
      </c>
      <c r="AX52" s="48">
        <f t="shared" si="5"/>
        <v>0</v>
      </c>
      <c r="AY52" s="19"/>
    </row>
    <row r="53" spans="1:51" x14ac:dyDescent="0.2">
      <c r="G53" s="19">
        <f t="shared" si="21"/>
        <v>75</v>
      </c>
      <c r="H53" s="28">
        <f t="shared" si="40"/>
        <v>3.9750000000000001</v>
      </c>
      <c r="I53" s="30">
        <v>7.7</v>
      </c>
      <c r="J53" s="82">
        <f>(J54+J52)/2</f>
        <v>4.8499999999999996</v>
      </c>
      <c r="L53" s="19">
        <f t="shared" si="22"/>
        <v>75</v>
      </c>
      <c r="M53" s="82"/>
      <c r="N53" s="40">
        <v>1.2</v>
      </c>
      <c r="O53" s="82">
        <v>1.9</v>
      </c>
      <c r="P53" s="82">
        <v>3.3</v>
      </c>
      <c r="Q53" s="82">
        <v>4</v>
      </c>
      <c r="R53" s="21">
        <f t="shared" si="39"/>
        <v>7.2909090909090901</v>
      </c>
      <c r="S53" s="21">
        <f t="shared" si="38"/>
        <v>6.6714285714285708</v>
      </c>
      <c r="T53" s="40">
        <v>9.6</v>
      </c>
      <c r="U53" s="21">
        <f t="shared" ref="U53:U67" si="42">(U$35-U$51)/($L$35-$L$51)*$L53+(U$35-(U$35-U$51)/($L$35-$L$51)*$L$35)</f>
        <v>13.081249999999995</v>
      </c>
      <c r="V53" s="21">
        <f t="shared" si="41"/>
        <v>14.305263157894737</v>
      </c>
      <c r="W53" s="21">
        <f>(W$28-W$48)/($L$28-$L$48)*$L53+(W$28-(W$28-W$48)/($L$28-$L$48)*$L$28)</f>
        <v>18.225000000000001</v>
      </c>
      <c r="Y53" s="128">
        <v>53</v>
      </c>
      <c r="Z53" s="130">
        <v>99.5</v>
      </c>
      <c r="AA53" s="41">
        <v>108</v>
      </c>
      <c r="AB53" s="24"/>
      <c r="AC53" s="41">
        <v>108</v>
      </c>
      <c r="AD53" s="128">
        <v>53</v>
      </c>
      <c r="AE53" s="24"/>
      <c r="AF53" s="62">
        <f>AF52</f>
        <v>42</v>
      </c>
      <c r="AG53" s="63"/>
      <c r="AH53" s="64">
        <f>$AL53</f>
        <v>7.5</v>
      </c>
      <c r="AI53" s="65"/>
      <c r="AJ53" s="65"/>
      <c r="AK53" s="46"/>
      <c r="AL53" s="66">
        <f>(Simulation!$D$13-(Simulation!$D$13*Simulation!$D$12))/2</f>
        <v>7.5</v>
      </c>
      <c r="AM53" s="47">
        <f t="shared" si="13"/>
        <v>32.125</v>
      </c>
      <c r="AN53" s="48">
        <f t="shared" si="8"/>
        <v>32.125</v>
      </c>
      <c r="AO53" s="47"/>
      <c r="AP53" s="47"/>
      <c r="AQ53" s="47"/>
      <c r="AR53" s="49"/>
      <c r="AS53" s="67">
        <f>AS52</f>
        <v>0</v>
      </c>
      <c r="AT53" s="51"/>
      <c r="AU53" s="68">
        <f>Simulation!$D$13</f>
        <v>30</v>
      </c>
      <c r="AV53" s="53">
        <f>$AU$5</f>
        <v>30</v>
      </c>
      <c r="AW53" s="52">
        <f t="shared" si="34"/>
        <v>62.5</v>
      </c>
      <c r="AX53" s="48">
        <f t="shared" si="5"/>
        <v>0</v>
      </c>
      <c r="AY53" s="19"/>
    </row>
    <row r="54" spans="1:51" x14ac:dyDescent="0.2">
      <c r="G54" s="19">
        <f t="shared" si="21"/>
        <v>70</v>
      </c>
      <c r="H54" s="28">
        <f t="shared" si="40"/>
        <v>3.71</v>
      </c>
      <c r="I54" s="30">
        <v>7.7</v>
      </c>
      <c r="J54" s="84">
        <v>4.7</v>
      </c>
      <c r="L54" s="19">
        <f t="shared" si="22"/>
        <v>70</v>
      </c>
      <c r="M54" s="82"/>
      <c r="N54" s="82">
        <v>1.2</v>
      </c>
      <c r="O54" s="82">
        <v>1.9</v>
      </c>
      <c r="P54" s="82">
        <v>3.2</v>
      </c>
      <c r="Q54" s="82">
        <v>4</v>
      </c>
      <c r="R54" s="21">
        <f t="shared" si="39"/>
        <v>7.127272727272727</v>
      </c>
      <c r="S54" s="21">
        <f>(S$41-S$55)/(L$41-L$55)*L54+(S$41-(S$41-S$55)/(L$41-L$55)*L$41)</f>
        <v>6.2857142857142847</v>
      </c>
      <c r="T54" s="21">
        <f>(T$38-T$53)/($L$38-$L$53)*$L54+(T$38-(T$38-T$53)/($L$38-$L$53)*$L$38)</f>
        <v>9.1866666666666674</v>
      </c>
      <c r="U54" s="21">
        <f t="shared" si="42"/>
        <v>12.346874999999995</v>
      </c>
      <c r="V54" s="21">
        <f t="shared" si="41"/>
        <v>13.473684210526317</v>
      </c>
      <c r="W54" s="21">
        <f t="shared" ref="W54:W67" si="43">(W$28-W$48)/($L$28-$L$48)*$L54+(W$28-(W$28-W$48)/($L$28-$L$48)*$L$28)</f>
        <v>17.675000000000001</v>
      </c>
      <c r="Y54" s="127">
        <f>(Y53+Y55)/2</f>
        <v>54</v>
      </c>
      <c r="Z54" s="129">
        <v>101</v>
      </c>
      <c r="AA54" s="41">
        <v>110</v>
      </c>
      <c r="AB54" s="24"/>
      <c r="AC54" s="41">
        <v>110</v>
      </c>
      <c r="AD54" s="127">
        <f>(AD53+AD55)/2</f>
        <v>54</v>
      </c>
      <c r="AE54" s="24"/>
      <c r="AF54" s="62">
        <f>AF53+AI54</f>
        <v>68</v>
      </c>
      <c r="AG54" s="63"/>
      <c r="AH54" s="46"/>
      <c r="AI54" s="69">
        <f>IF(AJ54&gt;0,IF(Simulation!$C$10="Lithium",VLOOKUP(AJ54+$C$16,Tabella4[],3)-AF53,0),0)</f>
        <v>26</v>
      </c>
      <c r="AJ54" s="69">
        <f>IF(AF53&gt;7,VLOOKUP(AF53,Tabella44[],2),0)</f>
        <v>13</v>
      </c>
      <c r="AK54" s="46"/>
      <c r="AL54" s="70">
        <f>Simulation!$D$13*Simulation!$D$12</f>
        <v>15</v>
      </c>
      <c r="AM54" s="47">
        <f t="shared" si="13"/>
        <v>32.375</v>
      </c>
      <c r="AN54" s="48">
        <f t="shared" si="8"/>
        <v>32.375</v>
      </c>
      <c r="AO54" s="47"/>
      <c r="AP54" s="47"/>
      <c r="AQ54" s="47"/>
      <c r="AR54" s="49">
        <v>26</v>
      </c>
      <c r="AS54" s="60">
        <f>IF(AS53&gt;7,AS53-AT54,0)</f>
        <v>0</v>
      </c>
      <c r="AT54" s="61">
        <f>MROUND($C$10*$C$13/60,2)</f>
        <v>30</v>
      </c>
      <c r="AU54" s="44"/>
      <c r="AV54" s="45">
        <f>$C$13</f>
        <v>120</v>
      </c>
      <c r="AW54" s="52">
        <f t="shared" si="34"/>
        <v>64.5</v>
      </c>
      <c r="AX54" s="48">
        <f t="shared" si="5"/>
        <v>0</v>
      </c>
      <c r="AY54" s="19"/>
    </row>
    <row r="55" spans="1:51" x14ac:dyDescent="0.2">
      <c r="G55" s="19">
        <f t="shared" si="21"/>
        <v>65</v>
      </c>
      <c r="H55" s="28">
        <f t="shared" si="40"/>
        <v>3.4449999999999998</v>
      </c>
      <c r="I55" s="30">
        <v>7.7</v>
      </c>
      <c r="J55" s="82">
        <f>(J56+J54)/2</f>
        <v>4.45</v>
      </c>
      <c r="L55" s="19">
        <f t="shared" si="22"/>
        <v>65</v>
      </c>
      <c r="M55" s="40">
        <v>0.8</v>
      </c>
      <c r="N55" s="82">
        <v>1.1000000000000001</v>
      </c>
      <c r="O55" s="40">
        <v>1.9</v>
      </c>
      <c r="P55" s="82">
        <v>3.2</v>
      </c>
      <c r="Q55" s="82">
        <v>3.9</v>
      </c>
      <c r="R55" s="21">
        <f>(R$45-R$56)/(L$45-L$56)*L55+(R$45-(R$45-R$56)/(L$45-L$56)*L$45)</f>
        <v>6.963636363636363</v>
      </c>
      <c r="S55" s="40">
        <v>5.9</v>
      </c>
      <c r="T55" s="21">
        <f t="shared" ref="T55:T67" si="44">(T$38-T$53)/($L$38-$L$53)*$L55+(T$38-(T$38-T$53)/($L$38-$L$53)*$L$38)</f>
        <v>8.7733333333333334</v>
      </c>
      <c r="U55" s="21">
        <f t="shared" si="42"/>
        <v>11.612499999999995</v>
      </c>
      <c r="V55" s="21">
        <f t="shared" si="41"/>
        <v>12.642105263157895</v>
      </c>
      <c r="W55" s="21">
        <f t="shared" si="43"/>
        <v>17.125</v>
      </c>
      <c r="Y55" s="128">
        <v>55</v>
      </c>
      <c r="Z55" s="130">
        <v>102.5</v>
      </c>
      <c r="AA55" s="41">
        <v>110</v>
      </c>
      <c r="AB55" s="24"/>
      <c r="AC55" s="41">
        <v>110</v>
      </c>
      <c r="AD55" s="128">
        <v>55</v>
      </c>
      <c r="AE55" s="24"/>
      <c r="AF55" s="71">
        <f>AF54</f>
        <v>68</v>
      </c>
      <c r="AG55" s="72"/>
      <c r="AH55" s="73"/>
      <c r="AI55" s="74"/>
      <c r="AJ55" s="74"/>
      <c r="AK55" s="64">
        <f>$AL55</f>
        <v>7.5</v>
      </c>
      <c r="AL55" s="66">
        <f>(Simulation!$D$13-(Simulation!$D$13*Simulation!$D$12))/2</f>
        <v>7.5</v>
      </c>
      <c r="AM55" s="47">
        <f t="shared" si="13"/>
        <v>32.5</v>
      </c>
      <c r="AN55" s="48">
        <f t="shared" si="8"/>
        <v>32.5</v>
      </c>
      <c r="AO55" s="47"/>
      <c r="AP55" s="47"/>
      <c r="AQ55" s="47"/>
      <c r="AR55" s="49"/>
      <c r="AS55" s="67">
        <f>AS54</f>
        <v>0</v>
      </c>
      <c r="AT55" s="51"/>
      <c r="AU55" s="68">
        <f>Simulation!$D$13</f>
        <v>30</v>
      </c>
      <c r="AV55" s="53">
        <f>$AU$5</f>
        <v>30</v>
      </c>
      <c r="AW55" s="52">
        <f t="shared" si="34"/>
        <v>65</v>
      </c>
      <c r="AX55" s="48">
        <f t="shared" si="5"/>
        <v>0</v>
      </c>
      <c r="AY55" s="19"/>
    </row>
    <row r="56" spans="1:51" x14ac:dyDescent="0.2">
      <c r="G56" s="19">
        <f t="shared" si="21"/>
        <v>60</v>
      </c>
      <c r="H56" s="28">
        <f t="shared" si="40"/>
        <v>3.1799999999999997</v>
      </c>
      <c r="I56" s="30">
        <v>7.7</v>
      </c>
      <c r="J56" s="84">
        <v>4.2</v>
      </c>
      <c r="L56" s="19">
        <f t="shared" si="22"/>
        <v>60</v>
      </c>
      <c r="M56" s="82">
        <v>0.7</v>
      </c>
      <c r="N56" s="82">
        <v>1.1000000000000001</v>
      </c>
      <c r="O56" s="82">
        <v>1.8</v>
      </c>
      <c r="P56" s="82">
        <v>3.2</v>
      </c>
      <c r="Q56" s="82">
        <v>3.9</v>
      </c>
      <c r="R56" s="40">
        <v>6.8</v>
      </c>
      <c r="S56" s="21">
        <f>(S$41-S$55)/(L$41-L$55)*L56+(S$41-(S$41-S$55)/(L$41-L$55)*L$41)</f>
        <v>5.5142857142857133</v>
      </c>
      <c r="T56" s="21">
        <f t="shared" si="44"/>
        <v>8.36</v>
      </c>
      <c r="U56" s="21">
        <f t="shared" si="42"/>
        <v>10.878124999999995</v>
      </c>
      <c r="V56" s="21">
        <f>(V$31-V$50)/($L$31-$L$50)*$L56+(V$31-(V$31-V$50)/($L$31-$L$50)*$L$31)</f>
        <v>11.810526315789474</v>
      </c>
      <c r="W56" s="21">
        <f t="shared" si="43"/>
        <v>16.575000000000003</v>
      </c>
      <c r="Y56" s="127">
        <f>(Y55+Y57)/2</f>
        <v>56</v>
      </c>
      <c r="Z56" s="129">
        <v>104</v>
      </c>
      <c r="AA56" s="41">
        <v>112</v>
      </c>
      <c r="AB56" s="24"/>
      <c r="AC56" s="41">
        <v>112</v>
      </c>
      <c r="AD56" s="127">
        <f>(AD55+AD57)/2</f>
        <v>56</v>
      </c>
      <c r="AE56" s="24">
        <v>15</v>
      </c>
      <c r="AF56" s="54">
        <f>IF(AF55&gt;7,AF55-AG56,0)</f>
        <v>38</v>
      </c>
      <c r="AG56" s="55">
        <f>MROUND($C$10*$C$13/60,2)</f>
        <v>30</v>
      </c>
      <c r="AH56" s="56"/>
      <c r="AI56" s="57"/>
      <c r="AJ56" s="57"/>
      <c r="AK56" s="58"/>
      <c r="AL56" s="59">
        <f>$C$13</f>
        <v>120</v>
      </c>
      <c r="AM56" s="47">
        <f t="shared" si="13"/>
        <v>34.5</v>
      </c>
      <c r="AN56" s="48">
        <f t="shared" si="8"/>
        <v>34.5</v>
      </c>
      <c r="AO56" s="47"/>
      <c r="AP56" s="47"/>
      <c r="AQ56" s="47"/>
      <c r="AR56" s="49">
        <v>27</v>
      </c>
      <c r="AS56" s="60">
        <f>IF(AS55&gt;7,AS55-AT56,0)</f>
        <v>0</v>
      </c>
      <c r="AT56" s="61">
        <f>MROUND($C$10*$C$13/60,2)</f>
        <v>30</v>
      </c>
      <c r="AU56" s="44"/>
      <c r="AV56" s="45">
        <f>$C$13</f>
        <v>120</v>
      </c>
      <c r="AW56" s="52">
        <f t="shared" si="34"/>
        <v>67</v>
      </c>
      <c r="AX56" s="48">
        <f t="shared" si="5"/>
        <v>0</v>
      </c>
      <c r="AY56" s="19"/>
    </row>
    <row r="57" spans="1:51" x14ac:dyDescent="0.2">
      <c r="G57" s="19">
        <f t="shared" si="21"/>
        <v>55</v>
      </c>
      <c r="H57" s="28">
        <f t="shared" si="40"/>
        <v>2.915</v>
      </c>
      <c r="I57" s="30">
        <v>7.7</v>
      </c>
      <c r="J57" s="82">
        <v>4</v>
      </c>
      <c r="L57" s="19">
        <f t="shared" si="22"/>
        <v>55</v>
      </c>
      <c r="M57" s="82">
        <v>0.6</v>
      </c>
      <c r="N57" s="82">
        <v>1</v>
      </c>
      <c r="O57" s="82">
        <v>1.8</v>
      </c>
      <c r="P57" s="82">
        <v>3.1</v>
      </c>
      <c r="Q57" s="82">
        <v>3.9</v>
      </c>
      <c r="R57" s="21">
        <f>(R$45-R$56)/(L$45-L$56)*L57+(R$45-(R$45-R$56)/(L$45-L$56)*L$45)</f>
        <v>6.6363636363636358</v>
      </c>
      <c r="S57" s="21">
        <f t="shared" ref="S57:S67" si="45">(S$41-S$55)/(L$41-L$55)*L57+(S$41-(S$41-S$55)/(L$41-L$55)*L$41)</f>
        <v>5.1285714285714281</v>
      </c>
      <c r="T57" s="21">
        <f t="shared" si="44"/>
        <v>7.9466666666666663</v>
      </c>
      <c r="U57" s="21">
        <f t="shared" si="42"/>
        <v>10.143749999999995</v>
      </c>
      <c r="V57" s="21">
        <f t="shared" si="41"/>
        <v>10.978947368421053</v>
      </c>
      <c r="W57" s="21">
        <f t="shared" si="43"/>
        <v>16.025000000000002</v>
      </c>
      <c r="Y57" s="128">
        <v>57</v>
      </c>
      <c r="Z57" s="130">
        <v>105.5</v>
      </c>
      <c r="AA57" s="41">
        <v>114</v>
      </c>
      <c r="AB57" s="24"/>
      <c r="AC57" s="41">
        <v>114</v>
      </c>
      <c r="AD57" s="128">
        <v>57</v>
      </c>
      <c r="AE57" s="24"/>
      <c r="AF57" s="62">
        <f>AF56</f>
        <v>38</v>
      </c>
      <c r="AG57" s="63"/>
      <c r="AH57" s="64">
        <f>$AL57</f>
        <v>7.5</v>
      </c>
      <c r="AI57" s="65"/>
      <c r="AJ57" s="65"/>
      <c r="AK57" s="46"/>
      <c r="AL57" s="66">
        <f>(Simulation!$D$13-(Simulation!$D$13*Simulation!$D$12))/2</f>
        <v>7.5</v>
      </c>
      <c r="AM57" s="47">
        <f t="shared" si="13"/>
        <v>34.625</v>
      </c>
      <c r="AN57" s="48">
        <f t="shared" si="8"/>
        <v>34.625</v>
      </c>
      <c r="AO57" s="47"/>
      <c r="AP57" s="47"/>
      <c r="AQ57" s="47"/>
      <c r="AR57" s="49"/>
      <c r="AS57" s="67">
        <f>AS56</f>
        <v>0</v>
      </c>
      <c r="AT57" s="51"/>
      <c r="AU57" s="68">
        <f>Simulation!$D$13</f>
        <v>30</v>
      </c>
      <c r="AV57" s="53">
        <f>$AU$5</f>
        <v>30</v>
      </c>
      <c r="AW57" s="52">
        <f t="shared" si="34"/>
        <v>67.5</v>
      </c>
      <c r="AX57" s="48">
        <f t="shared" si="5"/>
        <v>0</v>
      </c>
      <c r="AY57" s="19"/>
    </row>
    <row r="58" spans="1:51" x14ac:dyDescent="0.2">
      <c r="G58" s="19">
        <f t="shared" si="21"/>
        <v>50</v>
      </c>
      <c r="H58" s="28">
        <f t="shared" si="40"/>
        <v>2.65</v>
      </c>
      <c r="I58" s="30">
        <v>7.7</v>
      </c>
      <c r="J58" s="82">
        <v>3.7</v>
      </c>
      <c r="L58" s="19">
        <f t="shared" si="22"/>
        <v>50</v>
      </c>
      <c r="M58" s="40">
        <v>0.5</v>
      </c>
      <c r="N58" s="40">
        <v>1</v>
      </c>
      <c r="O58" s="82">
        <v>1.7</v>
      </c>
      <c r="P58" s="82">
        <v>3.1</v>
      </c>
      <c r="Q58" s="40">
        <v>3.9</v>
      </c>
      <c r="R58" s="21">
        <f t="shared" ref="R58:R67" si="46">(R$45-R$56)/(L$45-L$56)*L58+(R$45-(R$45-R$56)/(L$45-L$56)*L$45)</f>
        <v>6.4727272727272727</v>
      </c>
      <c r="S58" s="21">
        <f t="shared" si="45"/>
        <v>4.742857142857142</v>
      </c>
      <c r="T58" s="21">
        <f t="shared" si="44"/>
        <v>7.5333333333333323</v>
      </c>
      <c r="U58" s="21">
        <f t="shared" si="42"/>
        <v>9.4093749999999954</v>
      </c>
      <c r="V58" s="21">
        <f t="shared" si="41"/>
        <v>10.147368421052631</v>
      </c>
      <c r="W58" s="21">
        <f t="shared" si="43"/>
        <v>15.475000000000001</v>
      </c>
      <c r="Y58" s="127">
        <f>(Y57+Y59)/2</f>
        <v>58</v>
      </c>
      <c r="Z58" s="129">
        <v>107</v>
      </c>
      <c r="AA58" s="41">
        <v>116</v>
      </c>
      <c r="AB58" s="24"/>
      <c r="AC58" s="41">
        <v>116</v>
      </c>
      <c r="AD58" s="127">
        <f>(AD57+AD59)/2</f>
        <v>58</v>
      </c>
      <c r="AE58" s="24"/>
      <c r="AF58" s="62">
        <f>AF57+AI58</f>
        <v>66</v>
      </c>
      <c r="AG58" s="63"/>
      <c r="AH58" s="46"/>
      <c r="AI58" s="69">
        <f>IF(AJ58&gt;0,IF(Simulation!$C$10="Lithium",VLOOKUP(AJ58+$C$16,Tabella4[],3)-AF57,0),0)</f>
        <v>28</v>
      </c>
      <c r="AJ58" s="69">
        <f>IF(AF57&gt;7,VLOOKUP(AF57,Tabella44[],2),0)</f>
        <v>11</v>
      </c>
      <c r="AK58" s="46"/>
      <c r="AL58" s="70">
        <f>Simulation!$D$13*Simulation!$D$12</f>
        <v>15</v>
      </c>
      <c r="AM58" s="47">
        <f t="shared" si="13"/>
        <v>34.875</v>
      </c>
      <c r="AN58" s="48">
        <f t="shared" si="8"/>
        <v>34.875</v>
      </c>
      <c r="AO58" s="47"/>
      <c r="AP58" s="47"/>
      <c r="AQ58" s="47"/>
      <c r="AR58" s="49">
        <v>28</v>
      </c>
      <c r="AS58" s="60">
        <f>IF(AS57&gt;7,AS57-AT58,0)</f>
        <v>0</v>
      </c>
      <c r="AT58" s="61">
        <f>MROUND($C$10*$C$13/60,2)</f>
        <v>30</v>
      </c>
      <c r="AU58" s="44"/>
      <c r="AV58" s="45">
        <f>$C$13</f>
        <v>120</v>
      </c>
      <c r="AW58" s="52">
        <f t="shared" si="34"/>
        <v>69.5</v>
      </c>
      <c r="AX58" s="48">
        <f t="shared" si="5"/>
        <v>0</v>
      </c>
      <c r="AY58" s="19"/>
    </row>
    <row r="59" spans="1:51" x14ac:dyDescent="0.2">
      <c r="G59" s="19">
        <f t="shared" si="21"/>
        <v>45</v>
      </c>
      <c r="H59" s="28">
        <f t="shared" si="40"/>
        <v>2.3849999999999998</v>
      </c>
      <c r="I59" s="30">
        <v>7.7</v>
      </c>
      <c r="J59" s="84">
        <v>3.4</v>
      </c>
      <c r="L59" s="19">
        <f t="shared" si="22"/>
        <v>45</v>
      </c>
      <c r="M59" s="82">
        <v>0.5</v>
      </c>
      <c r="N59" s="82">
        <v>0.9</v>
      </c>
      <c r="O59" s="82">
        <v>1.7</v>
      </c>
      <c r="P59" s="82">
        <v>3.1</v>
      </c>
      <c r="Q59" s="82">
        <v>3.8</v>
      </c>
      <c r="R59" s="21">
        <f t="shared" si="46"/>
        <v>6.3090909090909086</v>
      </c>
      <c r="S59" s="21">
        <f t="shared" si="45"/>
        <v>4.3571428571428559</v>
      </c>
      <c r="T59" s="21">
        <f t="shared" si="44"/>
        <v>7.1199999999999992</v>
      </c>
      <c r="U59" s="21">
        <f t="shared" si="42"/>
        <v>8.6749999999999954</v>
      </c>
      <c r="V59" s="21">
        <f t="shared" si="41"/>
        <v>9.3157894736842106</v>
      </c>
      <c r="W59" s="21">
        <f t="shared" si="43"/>
        <v>14.925000000000001</v>
      </c>
      <c r="Y59" s="128">
        <v>59</v>
      </c>
      <c r="Z59" s="130">
        <v>108.5</v>
      </c>
      <c r="AA59" s="41">
        <v>116</v>
      </c>
      <c r="AB59" s="24"/>
      <c r="AC59" s="41">
        <v>116</v>
      </c>
      <c r="AD59" s="128">
        <v>59</v>
      </c>
      <c r="AE59" s="24"/>
      <c r="AF59" s="71">
        <f>AF58</f>
        <v>66</v>
      </c>
      <c r="AG59" s="72"/>
      <c r="AH59" s="73"/>
      <c r="AI59" s="74"/>
      <c r="AJ59" s="74"/>
      <c r="AK59" s="64">
        <f>$AL59</f>
        <v>7.5</v>
      </c>
      <c r="AL59" s="66">
        <f>(Simulation!$D$13-(Simulation!$D$13*Simulation!$D$12))/2</f>
        <v>7.5</v>
      </c>
      <c r="AM59" s="47">
        <f t="shared" si="13"/>
        <v>35</v>
      </c>
      <c r="AN59" s="48">
        <f t="shared" si="8"/>
        <v>35</v>
      </c>
      <c r="AO59" s="47"/>
      <c r="AP59" s="47"/>
      <c r="AQ59" s="47"/>
      <c r="AR59" s="49"/>
      <c r="AS59" s="67">
        <f>AS58</f>
        <v>0</v>
      </c>
      <c r="AT59" s="51"/>
      <c r="AU59" s="68">
        <f>Simulation!$D$13</f>
        <v>30</v>
      </c>
      <c r="AV59" s="53">
        <f>$AU$5</f>
        <v>30</v>
      </c>
      <c r="AW59" s="52">
        <f t="shared" si="34"/>
        <v>70</v>
      </c>
      <c r="AX59" s="48">
        <f t="shared" si="5"/>
        <v>0</v>
      </c>
      <c r="AY59" s="19"/>
    </row>
    <row r="60" spans="1:51" x14ac:dyDescent="0.2">
      <c r="G60" s="19">
        <f>G59-5</f>
        <v>40</v>
      </c>
      <c r="H60" s="28">
        <f t="shared" si="40"/>
        <v>2.12</v>
      </c>
      <c r="I60" s="30">
        <v>7.7</v>
      </c>
      <c r="J60" s="82">
        <f>(J61+J59)/2</f>
        <v>3.3499999999999996</v>
      </c>
      <c r="L60" s="19">
        <f>L59-5</f>
        <v>40</v>
      </c>
      <c r="M60" s="82">
        <v>0.4</v>
      </c>
      <c r="N60" s="82">
        <v>0.9</v>
      </c>
      <c r="O60" s="82">
        <v>1.6</v>
      </c>
      <c r="P60" s="40">
        <v>3.1</v>
      </c>
      <c r="Q60" s="82">
        <v>3.8</v>
      </c>
      <c r="R60" s="21">
        <f>(R$45-R$56)/(L$45-L$56)*L60+(R$45-(R$45-R$56)/(L$45-L$56)*L$45)</f>
        <v>6.1454545454545446</v>
      </c>
      <c r="S60" s="21">
        <f t="shared" si="45"/>
        <v>3.9714285714285706</v>
      </c>
      <c r="T60" s="21">
        <f t="shared" si="44"/>
        <v>6.7066666666666652</v>
      </c>
      <c r="U60" s="21">
        <f t="shared" si="42"/>
        <v>7.9406249999999954</v>
      </c>
      <c r="V60" s="21">
        <f t="shared" si="41"/>
        <v>8.4842105263157883</v>
      </c>
      <c r="W60" s="21">
        <f t="shared" si="43"/>
        <v>14.375000000000002</v>
      </c>
      <c r="Y60" s="127">
        <f>(Y59+Y61)/2</f>
        <v>60</v>
      </c>
      <c r="Z60" s="129">
        <v>110</v>
      </c>
      <c r="AA60" s="41">
        <v>118</v>
      </c>
      <c r="AB60" s="24"/>
      <c r="AC60" s="41">
        <v>118</v>
      </c>
      <c r="AD60" s="127">
        <f>(AD59+AD61)/2</f>
        <v>60</v>
      </c>
      <c r="AE60" s="24">
        <v>16</v>
      </c>
      <c r="AF60" s="54">
        <f>IF(AF59&gt;7,AF59-AG60,0)</f>
        <v>36</v>
      </c>
      <c r="AG60" s="55">
        <f>MROUND($C$10*$C$13/60,2)</f>
        <v>30</v>
      </c>
      <c r="AH60" s="56"/>
      <c r="AI60" s="57"/>
      <c r="AJ60" s="57"/>
      <c r="AK60" s="58"/>
      <c r="AL60" s="59">
        <f>$C$13</f>
        <v>120</v>
      </c>
      <c r="AM60" s="47">
        <f t="shared" si="13"/>
        <v>37</v>
      </c>
      <c r="AN60" s="48">
        <f t="shared" si="8"/>
        <v>37</v>
      </c>
      <c r="AO60" s="47"/>
      <c r="AP60" s="47"/>
      <c r="AQ60" s="47"/>
      <c r="AR60" s="49">
        <v>29</v>
      </c>
      <c r="AS60" s="60">
        <f>IF(AS59&gt;7,AS59-AT60,0)</f>
        <v>0</v>
      </c>
      <c r="AT60" s="61">
        <f>MROUND($C$10*$C$13/60,2)</f>
        <v>30</v>
      </c>
      <c r="AU60" s="44"/>
      <c r="AV60" s="45">
        <f>$C$13</f>
        <v>120</v>
      </c>
      <c r="AW60" s="52">
        <f t="shared" si="34"/>
        <v>72</v>
      </c>
      <c r="AX60" s="48">
        <f t="shared" si="5"/>
        <v>0</v>
      </c>
      <c r="AY60" s="19"/>
    </row>
    <row r="61" spans="1:51" x14ac:dyDescent="0.2">
      <c r="G61" s="19">
        <f t="shared" si="21"/>
        <v>35</v>
      </c>
      <c r="H61" s="28">
        <f t="shared" si="40"/>
        <v>1.855</v>
      </c>
      <c r="I61" s="30">
        <v>7.7</v>
      </c>
      <c r="J61" s="84">
        <v>3.3</v>
      </c>
      <c r="L61" s="19">
        <f t="shared" si="22"/>
        <v>35</v>
      </c>
      <c r="M61" s="40">
        <v>0.4</v>
      </c>
      <c r="N61" s="82">
        <v>0.8</v>
      </c>
      <c r="O61" s="40">
        <v>1.6</v>
      </c>
      <c r="P61" s="82">
        <v>3</v>
      </c>
      <c r="Q61" s="82">
        <v>3.8</v>
      </c>
      <c r="R61" s="21">
        <f t="shared" si="46"/>
        <v>5.9818181818181815</v>
      </c>
      <c r="S61" s="21">
        <f t="shared" si="45"/>
        <v>3.5857142857142845</v>
      </c>
      <c r="T61" s="21">
        <f t="shared" si="44"/>
        <v>6.293333333333333</v>
      </c>
      <c r="U61" s="21">
        <f t="shared" si="42"/>
        <v>7.2062499999999945</v>
      </c>
      <c r="V61" s="21">
        <f t="shared" si="41"/>
        <v>7.6526315789473687</v>
      </c>
      <c r="W61" s="21">
        <f t="shared" si="43"/>
        <v>13.825000000000001</v>
      </c>
      <c r="Y61" s="128">
        <v>61</v>
      </c>
      <c r="Z61" s="130">
        <v>111.5</v>
      </c>
      <c r="AA61" s="41">
        <v>120</v>
      </c>
      <c r="AB61" s="24"/>
      <c r="AC61" s="41">
        <v>120</v>
      </c>
      <c r="AD61" s="128">
        <v>61</v>
      </c>
      <c r="AE61" s="24"/>
      <c r="AF61" s="62">
        <f>AF60</f>
        <v>36</v>
      </c>
      <c r="AG61" s="63"/>
      <c r="AH61" s="64">
        <f>$AL61</f>
        <v>7.5</v>
      </c>
      <c r="AI61" s="65"/>
      <c r="AJ61" s="65"/>
      <c r="AK61" s="46"/>
      <c r="AL61" s="66">
        <f>(Simulation!$D$13-(Simulation!$D$13*Simulation!$D$12))/2</f>
        <v>7.5</v>
      </c>
      <c r="AM61" s="47">
        <f t="shared" si="13"/>
        <v>37.125</v>
      </c>
      <c r="AN61" s="48">
        <f t="shared" si="8"/>
        <v>37.125</v>
      </c>
      <c r="AO61" s="47"/>
      <c r="AP61" s="47"/>
      <c r="AQ61" s="47"/>
      <c r="AR61" s="49"/>
      <c r="AS61" s="67">
        <f>AS60</f>
        <v>0</v>
      </c>
      <c r="AT61" s="51"/>
      <c r="AU61" s="68">
        <f>Simulation!$D$13</f>
        <v>30</v>
      </c>
      <c r="AV61" s="53">
        <f>$AU$5</f>
        <v>30</v>
      </c>
      <c r="AW61" s="52">
        <f t="shared" si="34"/>
        <v>72.5</v>
      </c>
      <c r="AX61" s="48">
        <f t="shared" si="5"/>
        <v>0</v>
      </c>
      <c r="AY61" s="19"/>
    </row>
    <row r="62" spans="1:51" x14ac:dyDescent="0.2">
      <c r="G62" s="19">
        <f t="shared" si="21"/>
        <v>30</v>
      </c>
      <c r="H62" s="28">
        <f t="shared" si="40"/>
        <v>1.5899999999999999</v>
      </c>
      <c r="I62" s="30">
        <v>7.7</v>
      </c>
      <c r="J62" s="82">
        <v>2.9</v>
      </c>
      <c r="L62" s="19">
        <f t="shared" si="22"/>
        <v>30</v>
      </c>
      <c r="M62" s="82">
        <v>0.4</v>
      </c>
      <c r="N62" s="82">
        <v>0.8</v>
      </c>
      <c r="O62" s="82">
        <v>1.5</v>
      </c>
      <c r="P62" s="82">
        <v>3</v>
      </c>
      <c r="Q62" s="82">
        <v>3.7</v>
      </c>
      <c r="R62" s="21">
        <f t="shared" si="46"/>
        <v>5.8181818181818175</v>
      </c>
      <c r="S62" s="21">
        <f t="shared" si="45"/>
        <v>3.1999999999999988</v>
      </c>
      <c r="T62" s="21">
        <f t="shared" si="44"/>
        <v>5.879999999999999</v>
      </c>
      <c r="U62" s="21">
        <f>(U$35-U$51)/($L$35-$L$51)*$L62+(U$35-(U$35-U$51)/($L$35-$L$51)*$L$35)</f>
        <v>6.4718749999999945</v>
      </c>
      <c r="V62" s="21">
        <f t="shared" si="41"/>
        <v>6.8210526315789473</v>
      </c>
      <c r="W62" s="21">
        <f t="shared" si="43"/>
        <v>13.275000000000002</v>
      </c>
      <c r="Y62" s="127">
        <f>(Y61+Y63)/2</f>
        <v>62</v>
      </c>
      <c r="Z62" s="129">
        <v>113</v>
      </c>
      <c r="AA62" s="41">
        <v>122</v>
      </c>
      <c r="AB62" s="24"/>
      <c r="AC62" s="41">
        <v>122</v>
      </c>
      <c r="AD62" s="127">
        <f>(AD61+AD63)/2</f>
        <v>62</v>
      </c>
      <c r="AE62" s="24"/>
      <c r="AF62" s="62">
        <f>AF61+AI62</f>
        <v>64</v>
      </c>
      <c r="AG62" s="63"/>
      <c r="AH62" s="46"/>
      <c r="AI62" s="69">
        <f>IF(AJ62&gt;0,IF(Simulation!$C$10="Lithium",VLOOKUP(AJ62+$C$16,Tabella4[],3)-AF61,0),0)</f>
        <v>28</v>
      </c>
      <c r="AJ62" s="69">
        <f>IF(AF61&gt;7,VLOOKUP(AF61,Tabella44[],2),0)</f>
        <v>10</v>
      </c>
      <c r="AK62" s="46"/>
      <c r="AL62" s="70">
        <f>Simulation!$D$13*Simulation!$D$12</f>
        <v>15</v>
      </c>
      <c r="AM62" s="47">
        <f t="shared" si="13"/>
        <v>37.375</v>
      </c>
      <c r="AN62" s="48">
        <f t="shared" si="8"/>
        <v>37.375</v>
      </c>
      <c r="AO62" s="47"/>
      <c r="AP62" s="47"/>
      <c r="AQ62" s="47"/>
      <c r="AR62" s="49">
        <v>30</v>
      </c>
      <c r="AS62" s="60">
        <f>IF(AS61&gt;7,AS61-AT62,0)</f>
        <v>0</v>
      </c>
      <c r="AT62" s="61">
        <f>MROUND($C$10*$C$13/60,2)</f>
        <v>30</v>
      </c>
      <c r="AU62" s="44"/>
      <c r="AV62" s="45">
        <f>$C$13</f>
        <v>120</v>
      </c>
      <c r="AW62" s="52">
        <f t="shared" si="34"/>
        <v>74.5</v>
      </c>
      <c r="AX62" s="48">
        <f t="shared" si="5"/>
        <v>0</v>
      </c>
      <c r="AY62" s="19"/>
    </row>
    <row r="63" spans="1:51" x14ac:dyDescent="0.2">
      <c r="G63" s="19">
        <f t="shared" si="21"/>
        <v>25</v>
      </c>
      <c r="H63" s="28">
        <f t="shared" si="40"/>
        <v>1.325</v>
      </c>
      <c r="I63" s="30">
        <v>7.7</v>
      </c>
      <c r="J63" s="82">
        <v>2.6</v>
      </c>
      <c r="L63" s="19">
        <f t="shared" si="22"/>
        <v>25</v>
      </c>
      <c r="M63" s="82">
        <v>0.3</v>
      </c>
      <c r="N63" s="40">
        <v>0.7</v>
      </c>
      <c r="O63" s="82">
        <v>1.5</v>
      </c>
      <c r="P63" s="82">
        <v>3</v>
      </c>
      <c r="Q63" s="82">
        <v>3.7</v>
      </c>
      <c r="R63" s="21">
        <f t="shared" si="46"/>
        <v>5.6545454545454543</v>
      </c>
      <c r="S63" s="21">
        <f t="shared" si="45"/>
        <v>2.8142857142857132</v>
      </c>
      <c r="T63" s="21">
        <f t="shared" si="44"/>
        <v>5.466666666666665</v>
      </c>
      <c r="U63" s="21">
        <f t="shared" si="42"/>
        <v>5.7374999999999945</v>
      </c>
      <c r="V63" s="21">
        <f t="shared" si="41"/>
        <v>5.9894736842105258</v>
      </c>
      <c r="W63" s="21">
        <f t="shared" si="43"/>
        <v>12.725000000000001</v>
      </c>
      <c r="Y63" s="128">
        <v>63</v>
      </c>
      <c r="Z63" s="130">
        <v>114.5</v>
      </c>
      <c r="AA63" s="41">
        <v>122</v>
      </c>
      <c r="AB63" s="24"/>
      <c r="AC63" s="41">
        <v>122</v>
      </c>
      <c r="AD63" s="128">
        <v>63</v>
      </c>
      <c r="AE63" s="24"/>
      <c r="AF63" s="71">
        <f>AF62</f>
        <v>64</v>
      </c>
      <c r="AG63" s="72"/>
      <c r="AH63" s="73"/>
      <c r="AI63" s="74"/>
      <c r="AJ63" s="74"/>
      <c r="AK63" s="64">
        <f>$AL63</f>
        <v>7.5</v>
      </c>
      <c r="AL63" s="66">
        <f>(Simulation!$D$13-(Simulation!$D$13*Simulation!$D$12))/2</f>
        <v>7.5</v>
      </c>
      <c r="AM63" s="47">
        <f t="shared" si="13"/>
        <v>37.5</v>
      </c>
      <c r="AN63" s="48">
        <f t="shared" si="8"/>
        <v>37.5</v>
      </c>
      <c r="AO63" s="47"/>
      <c r="AP63" s="47"/>
      <c r="AQ63" s="47"/>
      <c r="AR63" s="49"/>
      <c r="AS63" s="67">
        <f>AS62</f>
        <v>0</v>
      </c>
      <c r="AT63" s="51"/>
      <c r="AU63" s="68">
        <f>Simulation!$D$13</f>
        <v>30</v>
      </c>
      <c r="AV63" s="53">
        <f>$AU$5</f>
        <v>30</v>
      </c>
      <c r="AW63" s="52">
        <f t="shared" si="34"/>
        <v>75</v>
      </c>
      <c r="AX63" s="48">
        <f t="shared" si="5"/>
        <v>0</v>
      </c>
      <c r="AY63" s="19"/>
    </row>
    <row r="64" spans="1:51" x14ac:dyDescent="0.2">
      <c r="G64" s="19">
        <f t="shared" si="21"/>
        <v>20</v>
      </c>
      <c r="H64" s="28">
        <f t="shared" si="40"/>
        <v>1.06</v>
      </c>
      <c r="I64" s="30">
        <v>7.7</v>
      </c>
      <c r="J64" s="84">
        <v>2.2999999999999998</v>
      </c>
      <c r="L64" s="19">
        <f t="shared" si="22"/>
        <v>20</v>
      </c>
      <c r="M64" s="82">
        <v>0.3</v>
      </c>
      <c r="N64" s="82">
        <v>0.6</v>
      </c>
      <c r="O64" s="82">
        <v>1.4</v>
      </c>
      <c r="P64" s="82">
        <v>3</v>
      </c>
      <c r="Q64" s="82">
        <v>3.7</v>
      </c>
      <c r="R64" s="21">
        <f t="shared" si="46"/>
        <v>5.4909090909090903</v>
      </c>
      <c r="S64" s="21">
        <f t="shared" si="45"/>
        <v>2.4285714285714275</v>
      </c>
      <c r="T64" s="21">
        <f t="shared" si="44"/>
        <v>5.0533333333333319</v>
      </c>
      <c r="U64" s="21">
        <f t="shared" si="42"/>
        <v>5.0031249999999945</v>
      </c>
      <c r="V64" s="21">
        <f t="shared" si="41"/>
        <v>5.1578947368421044</v>
      </c>
      <c r="W64" s="21">
        <f t="shared" si="43"/>
        <v>12.175000000000001</v>
      </c>
      <c r="Y64" s="127">
        <f>(Y63+Y65)/2</f>
        <v>64</v>
      </c>
      <c r="Z64" s="129">
        <v>116</v>
      </c>
      <c r="AA64" s="41">
        <v>124</v>
      </c>
      <c r="AB64" s="24"/>
      <c r="AC64" s="41">
        <v>124</v>
      </c>
      <c r="AD64" s="127">
        <f>(AD63+AD65)/2</f>
        <v>64</v>
      </c>
      <c r="AE64" s="24">
        <v>17</v>
      </c>
      <c r="AF64" s="54">
        <f>IF(AF63&gt;7,AF63-AG64,0)</f>
        <v>34</v>
      </c>
      <c r="AG64" s="55">
        <f>MROUND($C$10*$C$13/60,2)</f>
        <v>30</v>
      </c>
      <c r="AH64" s="56"/>
      <c r="AI64" s="57"/>
      <c r="AJ64" s="57"/>
      <c r="AK64" s="58"/>
      <c r="AL64" s="59">
        <f>$C$13</f>
        <v>120</v>
      </c>
      <c r="AM64" s="47">
        <f t="shared" si="13"/>
        <v>39.5</v>
      </c>
      <c r="AN64" s="48">
        <f t="shared" si="8"/>
        <v>39.5</v>
      </c>
      <c r="AO64" s="47"/>
      <c r="AP64" s="47"/>
      <c r="AQ64" s="47"/>
      <c r="AR64" s="49">
        <v>31</v>
      </c>
      <c r="AS64" s="60">
        <f>IF(AS63&gt;7,AS63-AT64,0)</f>
        <v>0</v>
      </c>
      <c r="AT64" s="61">
        <f>MROUND($C$10*$C$13/60,2)</f>
        <v>30</v>
      </c>
      <c r="AU64" s="44"/>
      <c r="AV64" s="45">
        <f>$C$13</f>
        <v>120</v>
      </c>
      <c r="AW64" s="52">
        <f t="shared" si="34"/>
        <v>77</v>
      </c>
      <c r="AX64" s="48">
        <f t="shared" si="5"/>
        <v>0</v>
      </c>
      <c r="AY64" s="19"/>
    </row>
    <row r="65" spans="1:51" x14ac:dyDescent="0.2">
      <c r="G65" s="19">
        <f t="shared" si="21"/>
        <v>15</v>
      </c>
      <c r="H65" s="28">
        <f t="shared" si="40"/>
        <v>0.79499999999999993</v>
      </c>
      <c r="I65" s="30">
        <v>7.7</v>
      </c>
      <c r="J65" s="82">
        <f>(J66+J64)/2</f>
        <v>1.7999999999999998</v>
      </c>
      <c r="L65" s="19">
        <f t="shared" si="22"/>
        <v>15</v>
      </c>
      <c r="M65" s="40">
        <v>0.2</v>
      </c>
      <c r="N65" s="82">
        <v>0.6</v>
      </c>
      <c r="O65" s="82">
        <v>1.4</v>
      </c>
      <c r="P65" s="82">
        <v>2.9</v>
      </c>
      <c r="Q65" s="82">
        <v>3.6</v>
      </c>
      <c r="R65" s="21">
        <f t="shared" si="46"/>
        <v>5.3272727272727272</v>
      </c>
      <c r="S65" s="21">
        <f t="shared" si="45"/>
        <v>2.0428571428571418</v>
      </c>
      <c r="T65" s="21">
        <f t="shared" si="44"/>
        <v>4.6399999999999988</v>
      </c>
      <c r="U65" s="21">
        <f t="shared" si="42"/>
        <v>4.2687499999999936</v>
      </c>
      <c r="V65" s="21">
        <f t="shared" si="41"/>
        <v>4.3263157894736839</v>
      </c>
      <c r="W65" s="21">
        <f t="shared" si="43"/>
        <v>11.625000000000002</v>
      </c>
      <c r="Y65" s="128">
        <v>65</v>
      </c>
      <c r="Z65" s="130">
        <v>117</v>
      </c>
      <c r="AA65" s="41">
        <v>126</v>
      </c>
      <c r="AB65" s="24"/>
      <c r="AC65" s="41">
        <v>126</v>
      </c>
      <c r="AD65" s="128">
        <v>65</v>
      </c>
      <c r="AE65" s="24"/>
      <c r="AF65" s="62">
        <f>AF64</f>
        <v>34</v>
      </c>
      <c r="AG65" s="63"/>
      <c r="AH65" s="64">
        <f>$AL65</f>
        <v>7.5</v>
      </c>
      <c r="AI65" s="65"/>
      <c r="AJ65" s="65"/>
      <c r="AK65" s="46"/>
      <c r="AL65" s="66">
        <f>(Simulation!$D$13-(Simulation!$D$13*Simulation!$D$12))/2</f>
        <v>7.5</v>
      </c>
      <c r="AM65" s="47">
        <f t="shared" si="13"/>
        <v>39.625</v>
      </c>
      <c r="AN65" s="48">
        <f t="shared" si="8"/>
        <v>39.625</v>
      </c>
      <c r="AO65" s="47"/>
      <c r="AP65" s="47"/>
      <c r="AQ65" s="47"/>
      <c r="AR65" s="49"/>
      <c r="AS65" s="67">
        <f>AS64</f>
        <v>0</v>
      </c>
      <c r="AT65" s="51"/>
      <c r="AU65" s="68">
        <f>Simulation!$D$13</f>
        <v>30</v>
      </c>
      <c r="AV65" s="53">
        <f>$AU$5</f>
        <v>30</v>
      </c>
      <c r="AW65" s="52">
        <f t="shared" si="34"/>
        <v>77.5</v>
      </c>
      <c r="AX65" s="48">
        <f t="shared" si="5"/>
        <v>0</v>
      </c>
      <c r="AY65" s="19"/>
    </row>
    <row r="66" spans="1:51" x14ac:dyDescent="0.2">
      <c r="G66" s="19">
        <f t="shared" si="21"/>
        <v>10</v>
      </c>
      <c r="H66" s="28">
        <f t="shared" si="40"/>
        <v>0.53</v>
      </c>
      <c r="I66" s="30">
        <v>7.7</v>
      </c>
      <c r="J66" s="84">
        <v>1.3</v>
      </c>
      <c r="L66" s="19">
        <f t="shared" si="22"/>
        <v>10</v>
      </c>
      <c r="M66" s="82">
        <v>0.2</v>
      </c>
      <c r="N66" s="82">
        <v>0.5</v>
      </c>
      <c r="O66" s="82">
        <v>1.3</v>
      </c>
      <c r="P66" s="82">
        <v>2.9</v>
      </c>
      <c r="Q66" s="82">
        <v>3.6</v>
      </c>
      <c r="R66" s="21">
        <f t="shared" si="46"/>
        <v>5.1636363636363631</v>
      </c>
      <c r="S66" s="21">
        <f t="shared" si="45"/>
        <v>1.6571428571428559</v>
      </c>
      <c r="T66" s="21">
        <f t="shared" si="44"/>
        <v>4.2266666666666657</v>
      </c>
      <c r="U66" s="21">
        <f t="shared" si="42"/>
        <v>3.534374999999994</v>
      </c>
      <c r="V66" s="21">
        <f t="shared" si="41"/>
        <v>3.4947368421052625</v>
      </c>
      <c r="W66" s="21">
        <f t="shared" si="43"/>
        <v>11.075000000000001</v>
      </c>
      <c r="Y66" s="127">
        <f>(Y65+Y67)/2</f>
        <v>66</v>
      </c>
      <c r="Z66" s="129">
        <v>118</v>
      </c>
      <c r="AA66" s="41">
        <v>126</v>
      </c>
      <c r="AB66" s="24"/>
      <c r="AC66" s="41">
        <v>126</v>
      </c>
      <c r="AD66" s="127">
        <f>(AD65+AD67)/2</f>
        <v>66</v>
      </c>
      <c r="AE66" s="24"/>
      <c r="AF66" s="62">
        <f>AF65+AI66</f>
        <v>62</v>
      </c>
      <c r="AG66" s="63"/>
      <c r="AH66" s="46"/>
      <c r="AI66" s="69">
        <f>IF(AJ66&gt;0,IF(Simulation!$C$10="Lithium",VLOOKUP(AJ66+$C$16,Tabella4[],3)-AF65,0),0)</f>
        <v>28</v>
      </c>
      <c r="AJ66" s="69">
        <f>IF(AF65&gt;7,VLOOKUP(AF65,Tabella44[],2),0)</f>
        <v>9</v>
      </c>
      <c r="AK66" s="46"/>
      <c r="AL66" s="70">
        <f>Simulation!$D$13*Simulation!$D$12</f>
        <v>15</v>
      </c>
      <c r="AM66" s="47">
        <f t="shared" si="13"/>
        <v>39.875</v>
      </c>
      <c r="AN66" s="48">
        <f t="shared" si="8"/>
        <v>39.875</v>
      </c>
      <c r="AO66" s="47"/>
      <c r="AP66" s="47"/>
      <c r="AQ66" s="47"/>
      <c r="AR66" s="49">
        <v>32</v>
      </c>
      <c r="AS66" s="60">
        <f>IF(AS65&gt;7,AS65-AT66,0)</f>
        <v>0</v>
      </c>
      <c r="AT66" s="61">
        <f>MROUND($C$10*$C$13/60,2)</f>
        <v>30</v>
      </c>
      <c r="AU66" s="44"/>
      <c r="AV66" s="45">
        <f>$C$13</f>
        <v>120</v>
      </c>
      <c r="AW66" s="52">
        <f t="shared" si="34"/>
        <v>79.5</v>
      </c>
      <c r="AX66" s="48">
        <f t="shared" si="5"/>
        <v>0</v>
      </c>
      <c r="AY66" s="19"/>
    </row>
    <row r="67" spans="1:51" x14ac:dyDescent="0.2">
      <c r="G67" s="19">
        <f t="shared" si="21"/>
        <v>5</v>
      </c>
      <c r="H67" s="28">
        <f>($H$48-$H$68)/($G$48-$G$68)*$G67+($H$48-($H$48-$H$68)/($G$48-$G$68)*$G$48)</f>
        <v>0.26500000000000001</v>
      </c>
      <c r="I67" s="30">
        <v>7.7</v>
      </c>
      <c r="J67" s="82">
        <f>(J68+J66)/2</f>
        <v>0.65</v>
      </c>
      <c r="L67" s="19">
        <f t="shared" si="22"/>
        <v>5</v>
      </c>
      <c r="M67" s="82">
        <v>0.2</v>
      </c>
      <c r="N67" s="82">
        <v>0.5</v>
      </c>
      <c r="O67" s="82">
        <v>1.3</v>
      </c>
      <c r="P67" s="82">
        <v>2.8</v>
      </c>
      <c r="Q67" s="82">
        <v>3.6</v>
      </c>
      <c r="R67" s="21">
        <f t="shared" si="46"/>
        <v>5</v>
      </c>
      <c r="S67" s="21">
        <f t="shared" si="45"/>
        <v>1.27142857142857</v>
      </c>
      <c r="T67" s="21">
        <f t="shared" si="44"/>
        <v>3.8133333333333321</v>
      </c>
      <c r="U67" s="21">
        <f t="shared" si="42"/>
        <v>2.7999999999999936</v>
      </c>
      <c r="V67" s="21">
        <f t="shared" si="41"/>
        <v>2.6631578947368415</v>
      </c>
      <c r="W67" s="21">
        <f t="shared" si="43"/>
        <v>10.525000000000002</v>
      </c>
      <c r="Y67" s="128">
        <v>67</v>
      </c>
      <c r="Z67" s="130">
        <v>119.5</v>
      </c>
      <c r="AA67" s="41">
        <v>128</v>
      </c>
      <c r="AB67" s="24"/>
      <c r="AC67" s="41">
        <v>128</v>
      </c>
      <c r="AD67" s="128">
        <v>67</v>
      </c>
      <c r="AE67" s="24"/>
      <c r="AF67" s="71">
        <f>AF66</f>
        <v>62</v>
      </c>
      <c r="AG67" s="72"/>
      <c r="AH67" s="73"/>
      <c r="AI67" s="74"/>
      <c r="AJ67" s="74"/>
      <c r="AK67" s="64">
        <f>$AL67</f>
        <v>7.5</v>
      </c>
      <c r="AL67" s="66">
        <f>(Simulation!$D$13-(Simulation!$D$13*Simulation!$D$12))/2</f>
        <v>7.5</v>
      </c>
      <c r="AM67" s="47">
        <f t="shared" si="13"/>
        <v>40</v>
      </c>
      <c r="AN67" s="48">
        <f t="shared" si="8"/>
        <v>40</v>
      </c>
      <c r="AO67" s="47"/>
      <c r="AP67" s="47"/>
      <c r="AQ67" s="47"/>
      <c r="AR67" s="49"/>
      <c r="AS67" s="67">
        <f>AS66</f>
        <v>0</v>
      </c>
      <c r="AT67" s="51"/>
      <c r="AU67" s="68">
        <f>Simulation!$D$13</f>
        <v>30</v>
      </c>
      <c r="AV67" s="53">
        <f>$AU$5</f>
        <v>30</v>
      </c>
      <c r="AW67" s="52">
        <f t="shared" si="34"/>
        <v>80</v>
      </c>
      <c r="AX67" s="48">
        <f t="shared" si="5"/>
        <v>0</v>
      </c>
      <c r="AY67" s="19"/>
    </row>
    <row r="68" spans="1:51" x14ac:dyDescent="0.2">
      <c r="G68" s="19">
        <v>0</v>
      </c>
      <c r="H68" s="82">
        <v>0</v>
      </c>
      <c r="I68" s="30">
        <v>0</v>
      </c>
      <c r="J68" s="82">
        <v>0</v>
      </c>
      <c r="L68" s="19">
        <v>0</v>
      </c>
      <c r="M68" s="82">
        <v>0</v>
      </c>
      <c r="N68" s="82">
        <v>0</v>
      </c>
      <c r="O68" s="82">
        <v>0</v>
      </c>
      <c r="P68" s="82">
        <v>0</v>
      </c>
      <c r="Q68" s="82">
        <v>0</v>
      </c>
      <c r="R68" s="82">
        <v>0</v>
      </c>
      <c r="S68" s="82">
        <v>0</v>
      </c>
      <c r="T68" s="82">
        <v>0</v>
      </c>
      <c r="U68" s="82">
        <v>0</v>
      </c>
      <c r="V68" s="82">
        <v>0</v>
      </c>
      <c r="W68" s="82">
        <v>0</v>
      </c>
      <c r="Y68" s="127">
        <f>(Y67+Y69)/2</f>
        <v>68</v>
      </c>
      <c r="Z68" s="129">
        <v>121</v>
      </c>
      <c r="AA68" s="41">
        <v>130</v>
      </c>
      <c r="AB68" s="24"/>
      <c r="AC68" s="41">
        <v>130</v>
      </c>
      <c r="AD68" s="127">
        <f>(AD67+AD69)/2</f>
        <v>68</v>
      </c>
      <c r="AE68" s="24">
        <v>18</v>
      </c>
      <c r="AF68" s="54">
        <f>IF(AF67&gt;7,AF67-AG68,0)</f>
        <v>32</v>
      </c>
      <c r="AG68" s="55">
        <f>MROUND($C$10*$C$13/60,2)</f>
        <v>30</v>
      </c>
      <c r="AH68" s="56"/>
      <c r="AI68" s="57"/>
      <c r="AJ68" s="57"/>
      <c r="AK68" s="58"/>
      <c r="AL68" s="59">
        <f>$C$13</f>
        <v>120</v>
      </c>
      <c r="AM68" s="47">
        <f t="shared" si="13"/>
        <v>42</v>
      </c>
      <c r="AN68" s="48">
        <f t="shared" si="8"/>
        <v>42</v>
      </c>
      <c r="AO68" s="47"/>
      <c r="AP68" s="47"/>
      <c r="AQ68" s="47"/>
      <c r="AR68" s="49">
        <v>33</v>
      </c>
      <c r="AS68" s="60">
        <f>IF(AS67&gt;7,AS67-AT68,0)</f>
        <v>0</v>
      </c>
      <c r="AT68" s="61">
        <f>MROUND($C$10*$C$13/60,2)</f>
        <v>30</v>
      </c>
      <c r="AU68" s="44"/>
      <c r="AV68" s="45">
        <f>$C$13</f>
        <v>120</v>
      </c>
      <c r="AW68" s="52">
        <f t="shared" si="34"/>
        <v>82</v>
      </c>
      <c r="AX68" s="48">
        <f t="shared" ref="AX68:AX131" si="47">IF(AS68&gt;0,1*AW68,0)</f>
        <v>0</v>
      </c>
      <c r="AY68" s="19"/>
    </row>
    <row r="69" spans="1:51" x14ac:dyDescent="0.2">
      <c r="G69" s="19"/>
      <c r="H69" s="82"/>
      <c r="I69" s="82"/>
      <c r="J69" s="82"/>
      <c r="Y69" s="128">
        <v>69</v>
      </c>
      <c r="Z69" s="130">
        <v>122.5</v>
      </c>
      <c r="AA69" s="41">
        <v>130</v>
      </c>
      <c r="AB69" s="24"/>
      <c r="AC69" s="41">
        <v>130</v>
      </c>
      <c r="AD69" s="128">
        <v>69</v>
      </c>
      <c r="AE69" s="24"/>
      <c r="AF69" s="62">
        <f>AF68</f>
        <v>32</v>
      </c>
      <c r="AG69" s="63"/>
      <c r="AH69" s="64">
        <f>$AL69</f>
        <v>7.5</v>
      </c>
      <c r="AI69" s="65"/>
      <c r="AJ69" s="65"/>
      <c r="AK69" s="46"/>
      <c r="AL69" s="66">
        <f>(Simulation!$D$13-(Simulation!$D$13*Simulation!$D$12))/2</f>
        <v>7.5</v>
      </c>
      <c r="AM69" s="47">
        <f t="shared" si="13"/>
        <v>42.125</v>
      </c>
      <c r="AN69" s="48">
        <f t="shared" ref="AN69:AN107" si="48">IF(AF69&gt;0,1*AM69,0)</f>
        <v>42.125</v>
      </c>
      <c r="AO69" s="47"/>
      <c r="AP69" s="47"/>
      <c r="AQ69" s="47"/>
      <c r="AR69" s="49"/>
      <c r="AS69" s="67">
        <f>AS68</f>
        <v>0</v>
      </c>
      <c r="AT69" s="51"/>
      <c r="AU69" s="68">
        <f>Simulation!$D$13</f>
        <v>30</v>
      </c>
      <c r="AV69" s="53">
        <f>$AU$5</f>
        <v>30</v>
      </c>
      <c r="AW69" s="52">
        <f t="shared" ref="AW69:AW100" si="49">((AW68*60)+AV69)/60</f>
        <v>82.5</v>
      </c>
      <c r="AX69" s="48">
        <f t="shared" si="47"/>
        <v>0</v>
      </c>
      <c r="AY69" s="19"/>
    </row>
    <row r="70" spans="1:51" x14ac:dyDescent="0.2">
      <c r="A70" s="75"/>
      <c r="B70" s="76"/>
      <c r="C70" s="76"/>
      <c r="D70" s="76"/>
      <c r="G70" s="19"/>
      <c r="H70" s="82"/>
      <c r="I70" s="82"/>
      <c r="J70" s="82"/>
      <c r="Y70" s="127">
        <f>(Y69+Y71)/2</f>
        <v>70</v>
      </c>
      <c r="Z70" s="129">
        <v>124</v>
      </c>
      <c r="AA70" s="41">
        <v>132</v>
      </c>
      <c r="AB70" s="24"/>
      <c r="AC70" s="41">
        <v>132</v>
      </c>
      <c r="AD70" s="127">
        <f>(AD69+AD71)/2</f>
        <v>70</v>
      </c>
      <c r="AE70" s="24"/>
      <c r="AF70" s="62">
        <f>AF69+AI70</f>
        <v>60</v>
      </c>
      <c r="AG70" s="63"/>
      <c r="AH70" s="46"/>
      <c r="AI70" s="69">
        <f>IF(AJ70&gt;0,IF(Simulation!$C$10="Lithium",VLOOKUP(AJ70+$C$16,Tabella4[],3)-AF69,0),0)</f>
        <v>28</v>
      </c>
      <c r="AJ70" s="69">
        <f>IF(AF69&gt;7,VLOOKUP(AF69,Tabella44[],2),0)</f>
        <v>8</v>
      </c>
      <c r="AK70" s="46"/>
      <c r="AL70" s="70">
        <f>Simulation!$D$13*Simulation!$D$12</f>
        <v>15</v>
      </c>
      <c r="AM70" s="47">
        <f t="shared" si="13"/>
        <v>42.375</v>
      </c>
      <c r="AN70" s="48">
        <f t="shared" si="48"/>
        <v>42.375</v>
      </c>
      <c r="AO70" s="47"/>
      <c r="AP70" s="47"/>
      <c r="AQ70" s="47"/>
      <c r="AR70" s="49">
        <v>34</v>
      </c>
      <c r="AS70" s="60">
        <f>IF(AS69&gt;7,AS69-AT70,0)</f>
        <v>0</v>
      </c>
      <c r="AT70" s="61">
        <f>MROUND($C$10*$C$13/60,2)</f>
        <v>30</v>
      </c>
      <c r="AU70" s="44"/>
      <c r="AV70" s="45">
        <f>$C$13</f>
        <v>120</v>
      </c>
      <c r="AW70" s="52">
        <f t="shared" si="49"/>
        <v>84.5</v>
      </c>
      <c r="AX70" s="48">
        <f t="shared" si="47"/>
        <v>0</v>
      </c>
      <c r="AY70" s="19"/>
    </row>
    <row r="71" spans="1:51" ht="15.75" x14ac:dyDescent="0.2">
      <c r="A71" s="75"/>
      <c r="B71" s="76"/>
      <c r="C71" s="76"/>
      <c r="D71" s="76"/>
      <c r="G71" s="176" t="s">
        <v>48</v>
      </c>
      <c r="H71" s="176"/>
      <c r="I71" s="176"/>
      <c r="J71" s="176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Y71" s="128">
        <v>71</v>
      </c>
      <c r="Z71" s="130">
        <v>125.5</v>
      </c>
      <c r="AA71" s="41">
        <v>134</v>
      </c>
      <c r="AB71" s="24"/>
      <c r="AC71" s="41">
        <v>134</v>
      </c>
      <c r="AD71" s="128">
        <v>71</v>
      </c>
      <c r="AE71" s="24"/>
      <c r="AF71" s="71">
        <f>AF70</f>
        <v>60</v>
      </c>
      <c r="AG71" s="72"/>
      <c r="AH71" s="73"/>
      <c r="AI71" s="74"/>
      <c r="AJ71" s="74"/>
      <c r="AK71" s="64">
        <f>$AL71</f>
        <v>7.5</v>
      </c>
      <c r="AL71" s="66">
        <f>(Simulation!$D$13-(Simulation!$D$13*Simulation!$D$12))/2</f>
        <v>7.5</v>
      </c>
      <c r="AM71" s="47">
        <f t="shared" si="13"/>
        <v>42.5</v>
      </c>
      <c r="AN71" s="48">
        <f t="shared" si="48"/>
        <v>42.5</v>
      </c>
      <c r="AO71" s="47"/>
      <c r="AP71" s="47"/>
      <c r="AQ71" s="47"/>
      <c r="AR71" s="49"/>
      <c r="AS71" s="67">
        <f>AS70</f>
        <v>0</v>
      </c>
      <c r="AT71" s="51"/>
      <c r="AU71" s="68">
        <f>Simulation!$D$13</f>
        <v>30</v>
      </c>
      <c r="AV71" s="53">
        <f>$AU$5</f>
        <v>30</v>
      </c>
      <c r="AW71" s="52">
        <f t="shared" si="49"/>
        <v>85</v>
      </c>
      <c r="AX71" s="48">
        <f t="shared" si="47"/>
        <v>0</v>
      </c>
      <c r="AY71" s="19"/>
    </row>
    <row r="72" spans="1:51" x14ac:dyDescent="0.2">
      <c r="A72" s="75"/>
      <c r="B72" s="78"/>
      <c r="C72" s="76"/>
      <c r="D72" s="76"/>
      <c r="G72" s="19" t="s">
        <v>2</v>
      </c>
      <c r="H72" s="20" t="s">
        <v>49</v>
      </c>
      <c r="I72" s="20" t="s">
        <v>14</v>
      </c>
      <c r="J72" s="20" t="s">
        <v>16</v>
      </c>
      <c r="L72" s="87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Y72" s="127">
        <f>(Y71+Y73)/2</f>
        <v>72</v>
      </c>
      <c r="Z72" s="129">
        <v>127</v>
      </c>
      <c r="AA72" s="41">
        <v>136</v>
      </c>
      <c r="AB72" s="24"/>
      <c r="AC72" s="41">
        <v>136</v>
      </c>
      <c r="AD72" s="127">
        <f>(AD71+AD73)/2</f>
        <v>72</v>
      </c>
      <c r="AE72" s="24">
        <v>19</v>
      </c>
      <c r="AF72" s="54">
        <f>IF(AF71&gt;7,AF71-AG72,0)</f>
        <v>30</v>
      </c>
      <c r="AG72" s="55">
        <f>MROUND($C$10*$C$13/60,2)</f>
        <v>30</v>
      </c>
      <c r="AH72" s="56"/>
      <c r="AI72" s="57"/>
      <c r="AJ72" s="57"/>
      <c r="AK72" s="58"/>
      <c r="AL72" s="59">
        <f>$C$13</f>
        <v>120</v>
      </c>
      <c r="AM72" s="47">
        <f t="shared" si="13"/>
        <v>44.5</v>
      </c>
      <c r="AN72" s="48">
        <f t="shared" si="48"/>
        <v>44.5</v>
      </c>
      <c r="AO72" s="47"/>
      <c r="AP72" s="47"/>
      <c r="AQ72" s="47"/>
      <c r="AR72" s="49">
        <v>35</v>
      </c>
      <c r="AS72" s="60">
        <f>IF(AS71&gt;7,AS71-AT72,0)</f>
        <v>0</v>
      </c>
      <c r="AT72" s="61">
        <f>MROUND($C$10*$C$13/60,2)</f>
        <v>30</v>
      </c>
      <c r="AU72" s="44"/>
      <c r="AV72" s="45">
        <f>$C$13</f>
        <v>120</v>
      </c>
      <c r="AW72" s="52">
        <f t="shared" si="49"/>
        <v>87</v>
      </c>
      <c r="AX72" s="48">
        <f t="shared" si="47"/>
        <v>0</v>
      </c>
      <c r="AY72" s="19"/>
    </row>
    <row r="73" spans="1:51" x14ac:dyDescent="0.2">
      <c r="A73" s="75"/>
      <c r="B73" s="76"/>
      <c r="C73" s="76"/>
      <c r="D73" s="76"/>
      <c r="G73" s="38">
        <v>400</v>
      </c>
      <c r="H73" s="132" t="s">
        <v>53</v>
      </c>
      <c r="I73" s="28">
        <v>0</v>
      </c>
      <c r="J73" s="39">
        <v>16.399999999999999</v>
      </c>
      <c r="L73" s="87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Y73" s="128">
        <v>73</v>
      </c>
      <c r="Z73" s="130">
        <v>128</v>
      </c>
      <c r="AA73" s="41">
        <v>136</v>
      </c>
      <c r="AB73" s="24"/>
      <c r="AC73" s="41">
        <v>136</v>
      </c>
      <c r="AD73" s="128">
        <v>73</v>
      </c>
      <c r="AE73" s="24"/>
      <c r="AF73" s="62">
        <f>AF72</f>
        <v>30</v>
      </c>
      <c r="AG73" s="63"/>
      <c r="AH73" s="64">
        <f>$AL73</f>
        <v>7.5</v>
      </c>
      <c r="AI73" s="65"/>
      <c r="AJ73" s="65"/>
      <c r="AK73" s="46"/>
      <c r="AL73" s="66">
        <f>(Simulation!$D$13-(Simulation!$D$13*Simulation!$D$12))/2</f>
        <v>7.5</v>
      </c>
      <c r="AM73" s="47">
        <f t="shared" si="13"/>
        <v>44.625</v>
      </c>
      <c r="AN73" s="48">
        <f t="shared" si="48"/>
        <v>44.625</v>
      </c>
      <c r="AO73" s="47"/>
      <c r="AP73" s="47"/>
      <c r="AQ73" s="47"/>
      <c r="AR73" s="49"/>
      <c r="AS73" s="67">
        <f>AS72</f>
        <v>0</v>
      </c>
      <c r="AT73" s="51"/>
      <c r="AU73" s="68">
        <f>Simulation!$D$13</f>
        <v>30</v>
      </c>
      <c r="AV73" s="53">
        <f>$AU$5</f>
        <v>30</v>
      </c>
      <c r="AW73" s="52">
        <f t="shared" si="49"/>
        <v>87.5</v>
      </c>
      <c r="AX73" s="48">
        <f t="shared" si="47"/>
        <v>0</v>
      </c>
      <c r="AY73" s="19"/>
    </row>
    <row r="74" spans="1:51" x14ac:dyDescent="0.2">
      <c r="A74" s="75"/>
      <c r="B74" s="76"/>
      <c r="C74" s="76"/>
      <c r="D74" s="76"/>
      <c r="G74" s="19">
        <f>G73-10</f>
        <v>390</v>
      </c>
      <c r="H74" s="21" t="s">
        <v>53</v>
      </c>
      <c r="I74" s="28">
        <v>0</v>
      </c>
      <c r="J74" s="39">
        <v>16.399999999999999</v>
      </c>
      <c r="L74" s="87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Y74" s="127">
        <f>(Y73+Y75)/2</f>
        <v>74</v>
      </c>
      <c r="Z74" s="129">
        <v>129</v>
      </c>
      <c r="AA74" s="41">
        <v>138</v>
      </c>
      <c r="AB74" s="24"/>
      <c r="AC74" s="41">
        <v>138</v>
      </c>
      <c r="AD74" s="127">
        <f>(AD73+AD75)/2</f>
        <v>74</v>
      </c>
      <c r="AE74" s="24"/>
      <c r="AF74" s="62">
        <f>AF73+AI74</f>
        <v>58</v>
      </c>
      <c r="AG74" s="63"/>
      <c r="AH74" s="46"/>
      <c r="AI74" s="69">
        <f>IF(AJ74&gt;0,IF(Simulation!$C$10="Lithium",VLOOKUP(AJ74+$C$16,Tabella4[],3)-AF73,0),0)</f>
        <v>28</v>
      </c>
      <c r="AJ74" s="69">
        <f>IF(AF73&gt;7,VLOOKUP(AF73,Tabella44[],2),0)</f>
        <v>7</v>
      </c>
      <c r="AK74" s="46"/>
      <c r="AL74" s="70">
        <f>Simulation!$D$13*Simulation!$D$12</f>
        <v>15</v>
      </c>
      <c r="AM74" s="47">
        <f t="shared" si="13"/>
        <v>44.875</v>
      </c>
      <c r="AN74" s="48">
        <f t="shared" si="48"/>
        <v>44.875</v>
      </c>
      <c r="AO74" s="47"/>
      <c r="AP74" s="47"/>
      <c r="AQ74" s="47"/>
      <c r="AR74" s="49">
        <v>36</v>
      </c>
      <c r="AS74" s="60">
        <f>IF(AS73&gt;7,AS73-AT74,0)</f>
        <v>0</v>
      </c>
      <c r="AT74" s="61">
        <f>MROUND($C$10*$C$13/60,2)</f>
        <v>30</v>
      </c>
      <c r="AU74" s="44"/>
      <c r="AV74" s="45">
        <f>$C$13</f>
        <v>120</v>
      </c>
      <c r="AW74" s="52">
        <f t="shared" si="49"/>
        <v>89.5</v>
      </c>
      <c r="AX74" s="48">
        <f t="shared" si="47"/>
        <v>0</v>
      </c>
      <c r="AY74" s="19"/>
    </row>
    <row r="75" spans="1:51" x14ac:dyDescent="0.2">
      <c r="A75" s="75"/>
      <c r="B75" s="76"/>
      <c r="C75" s="76"/>
      <c r="D75" s="76"/>
      <c r="G75" s="19">
        <f t="shared" ref="G75:G88" si="50">G74-10</f>
        <v>380</v>
      </c>
      <c r="H75" s="21" t="s">
        <v>53</v>
      </c>
      <c r="I75" s="28">
        <v>0</v>
      </c>
      <c r="J75" s="39">
        <v>16.399999999999999</v>
      </c>
      <c r="L75" s="87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Y75" s="128">
        <v>75</v>
      </c>
      <c r="Z75" s="130">
        <v>130.5</v>
      </c>
      <c r="AA75" s="41">
        <v>138</v>
      </c>
      <c r="AB75" s="24"/>
      <c r="AC75" s="41">
        <v>138</v>
      </c>
      <c r="AD75" s="128">
        <v>75</v>
      </c>
      <c r="AE75" s="24"/>
      <c r="AF75" s="71">
        <f>AF74</f>
        <v>58</v>
      </c>
      <c r="AG75" s="72"/>
      <c r="AH75" s="73"/>
      <c r="AI75" s="74"/>
      <c r="AJ75" s="74"/>
      <c r="AK75" s="64">
        <f>$AL75</f>
        <v>7.5</v>
      </c>
      <c r="AL75" s="66">
        <f>(Simulation!$D$13-(Simulation!$D$13*Simulation!$D$12))/2</f>
        <v>7.5</v>
      </c>
      <c r="AM75" s="47">
        <f t="shared" si="13"/>
        <v>45</v>
      </c>
      <c r="AN75" s="48">
        <f t="shared" si="48"/>
        <v>45</v>
      </c>
      <c r="AO75" s="47"/>
      <c r="AP75" s="47"/>
      <c r="AQ75" s="47"/>
      <c r="AR75" s="49"/>
      <c r="AS75" s="67">
        <f>AS74</f>
        <v>0</v>
      </c>
      <c r="AT75" s="51"/>
      <c r="AU75" s="68">
        <f>Simulation!$D$13</f>
        <v>30</v>
      </c>
      <c r="AV75" s="53">
        <f>$AU$5</f>
        <v>30</v>
      </c>
      <c r="AW75" s="52">
        <f t="shared" si="49"/>
        <v>90</v>
      </c>
      <c r="AX75" s="48">
        <f t="shared" si="47"/>
        <v>0</v>
      </c>
      <c r="AY75" s="19"/>
    </row>
    <row r="76" spans="1:51" x14ac:dyDescent="0.2">
      <c r="A76" s="75"/>
      <c r="B76" s="76"/>
      <c r="C76" s="76"/>
      <c r="D76" s="76"/>
      <c r="G76" s="19">
        <f t="shared" si="50"/>
        <v>370</v>
      </c>
      <c r="H76" s="40">
        <v>47.5</v>
      </c>
      <c r="I76" s="28">
        <v>0</v>
      </c>
      <c r="J76" s="39">
        <v>16.399999999999999</v>
      </c>
      <c r="L76" s="87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Y76" s="127">
        <f>(Y75+Y77)/2</f>
        <v>76</v>
      </c>
      <c r="Z76" s="129">
        <v>132</v>
      </c>
      <c r="AA76" s="41">
        <v>140</v>
      </c>
      <c r="AB76" s="24"/>
      <c r="AC76" s="41">
        <v>140</v>
      </c>
      <c r="AD76" s="127">
        <f>(AD75+AD77)/2</f>
        <v>76</v>
      </c>
      <c r="AE76" s="24">
        <v>20</v>
      </c>
      <c r="AF76" s="54">
        <f>IF(AF75&gt;7,AF75-AG76,0)</f>
        <v>28</v>
      </c>
      <c r="AG76" s="55">
        <f>MROUND($C$10*$C$13/60,2)</f>
        <v>30</v>
      </c>
      <c r="AH76" s="56"/>
      <c r="AI76" s="57"/>
      <c r="AJ76" s="57"/>
      <c r="AK76" s="58"/>
      <c r="AL76" s="59">
        <f>$C$13</f>
        <v>120</v>
      </c>
      <c r="AM76" s="47">
        <f t="shared" ref="AM76:AM107" si="51">((AM75*60)+AL76)/60</f>
        <v>47</v>
      </c>
      <c r="AN76" s="48">
        <f t="shared" si="48"/>
        <v>47</v>
      </c>
      <c r="AO76" s="47"/>
      <c r="AP76" s="47"/>
      <c r="AQ76" s="47"/>
      <c r="AR76" s="49">
        <v>37</v>
      </c>
      <c r="AS76" s="60">
        <f>IF(AS75&gt;7,AS75-AT76,0)</f>
        <v>0</v>
      </c>
      <c r="AT76" s="61">
        <f>MROUND($C$10*$C$13/60,2)</f>
        <v>30</v>
      </c>
      <c r="AU76" s="44"/>
      <c r="AV76" s="45">
        <f>$C$13</f>
        <v>120</v>
      </c>
      <c r="AW76" s="52">
        <f t="shared" si="49"/>
        <v>92</v>
      </c>
      <c r="AX76" s="48">
        <f t="shared" si="47"/>
        <v>0</v>
      </c>
      <c r="AY76" s="19"/>
    </row>
    <row r="77" spans="1:51" x14ac:dyDescent="0.2">
      <c r="A77" s="75"/>
      <c r="B77" s="76"/>
      <c r="C77" s="76"/>
      <c r="D77" s="76"/>
      <c r="G77" s="19">
        <f t="shared" si="50"/>
        <v>360</v>
      </c>
      <c r="H77" s="21">
        <f t="shared" ref="H77:H81" si="52">($H$83-$H$127)/($G$83-$G$127)*$G77+($H$83-($H$83-$H$127)/($G$83-$G$127)*$G$83)</f>
        <v>47.008163265306123</v>
      </c>
      <c r="I77" s="28">
        <v>0</v>
      </c>
      <c r="J77" s="39">
        <v>16.399999999999999</v>
      </c>
      <c r="L77" s="87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Y77" s="128">
        <v>77</v>
      </c>
      <c r="Z77" s="130">
        <v>133</v>
      </c>
      <c r="AA77" s="41">
        <v>142</v>
      </c>
      <c r="AB77" s="24"/>
      <c r="AC77" s="41">
        <v>142</v>
      </c>
      <c r="AD77" s="128">
        <v>77</v>
      </c>
      <c r="AE77" s="24"/>
      <c r="AF77" s="62">
        <f>AF76</f>
        <v>28</v>
      </c>
      <c r="AG77" s="63"/>
      <c r="AH77" s="64">
        <f>$AL77</f>
        <v>7.5</v>
      </c>
      <c r="AI77" s="65"/>
      <c r="AJ77" s="65"/>
      <c r="AK77" s="46"/>
      <c r="AL77" s="66">
        <f>(Simulation!$D$13-(Simulation!$D$13*Simulation!$D$12))/2</f>
        <v>7.5</v>
      </c>
      <c r="AM77" s="47">
        <f t="shared" si="51"/>
        <v>47.125</v>
      </c>
      <c r="AN77" s="48">
        <f t="shared" si="48"/>
        <v>47.125</v>
      </c>
      <c r="AO77" s="47"/>
      <c r="AP77" s="47"/>
      <c r="AQ77" s="47"/>
      <c r="AR77" s="49"/>
      <c r="AS77" s="67">
        <f>AS76</f>
        <v>0</v>
      </c>
      <c r="AT77" s="51"/>
      <c r="AU77" s="68">
        <f>Simulation!$D$13</f>
        <v>30</v>
      </c>
      <c r="AV77" s="53">
        <f>$AU$5</f>
        <v>30</v>
      </c>
      <c r="AW77" s="52">
        <f t="shared" si="49"/>
        <v>92.5</v>
      </c>
      <c r="AX77" s="48">
        <f t="shared" si="47"/>
        <v>0</v>
      </c>
      <c r="AY77" s="19"/>
    </row>
    <row r="78" spans="1:51" x14ac:dyDescent="0.2">
      <c r="A78" s="75"/>
      <c r="B78" s="76"/>
      <c r="C78" s="76"/>
      <c r="D78" s="76"/>
      <c r="G78" s="19">
        <f t="shared" si="50"/>
        <v>350</v>
      </c>
      <c r="H78" s="21">
        <f t="shared" si="52"/>
        <v>45.673469387755105</v>
      </c>
      <c r="I78" s="28">
        <v>0</v>
      </c>
      <c r="J78" s="39">
        <v>16.399999999999999</v>
      </c>
      <c r="L78" s="87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Y78" s="127">
        <f>(Y77+Y79)/2</f>
        <v>78</v>
      </c>
      <c r="Z78" s="129">
        <v>134</v>
      </c>
      <c r="AA78" s="41">
        <v>142</v>
      </c>
      <c r="AB78" s="24"/>
      <c r="AC78" s="41">
        <v>142</v>
      </c>
      <c r="AD78" s="127">
        <f>(AD77+AD79)/2</f>
        <v>78</v>
      </c>
      <c r="AE78" s="24"/>
      <c r="AF78" s="62">
        <f>AF77+AI78</f>
        <v>58</v>
      </c>
      <c r="AG78" s="63"/>
      <c r="AH78" s="46"/>
      <c r="AI78" s="69">
        <f>IF(AJ78&gt;0,IF(Simulation!$C$10="Lithium",VLOOKUP(AJ78+$C$16,Tabella4[],3)-AF77,0),0)</f>
        <v>30</v>
      </c>
      <c r="AJ78" s="69">
        <f>IF(AF77&gt;7,VLOOKUP(AF77,Tabella44[],2),0)</f>
        <v>7</v>
      </c>
      <c r="AK78" s="46"/>
      <c r="AL78" s="70">
        <f>Simulation!$D$13*Simulation!$D$12</f>
        <v>15</v>
      </c>
      <c r="AM78" s="47">
        <f t="shared" si="51"/>
        <v>47.375</v>
      </c>
      <c r="AN78" s="48">
        <f t="shared" si="48"/>
        <v>47.375</v>
      </c>
      <c r="AO78" s="47"/>
      <c r="AP78" s="47"/>
      <c r="AQ78" s="47"/>
      <c r="AR78" s="49">
        <v>38</v>
      </c>
      <c r="AS78" s="60">
        <f>IF(AS77&gt;7,AS77-AT78,0)</f>
        <v>0</v>
      </c>
      <c r="AT78" s="61">
        <f>MROUND($C$10*$C$13/60,2)</f>
        <v>30</v>
      </c>
      <c r="AU78" s="44"/>
      <c r="AV78" s="45">
        <f>$C$13</f>
        <v>120</v>
      </c>
      <c r="AW78" s="52">
        <f t="shared" si="49"/>
        <v>94.5</v>
      </c>
      <c r="AX78" s="48">
        <f t="shared" si="47"/>
        <v>0</v>
      </c>
      <c r="AY78" s="19"/>
    </row>
    <row r="79" spans="1:51" x14ac:dyDescent="0.2">
      <c r="A79" s="75"/>
      <c r="B79" s="76"/>
      <c r="C79" s="76"/>
      <c r="D79" s="76"/>
      <c r="G79" s="19">
        <f t="shared" si="50"/>
        <v>340</v>
      </c>
      <c r="H79" s="21">
        <f t="shared" si="52"/>
        <v>44.33877551020408</v>
      </c>
      <c r="I79" s="28">
        <v>0</v>
      </c>
      <c r="J79" s="39">
        <v>16.399999999999999</v>
      </c>
      <c r="L79" s="87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Y79" s="128">
        <v>79</v>
      </c>
      <c r="Z79" s="130">
        <v>135</v>
      </c>
      <c r="AA79" s="41">
        <v>144</v>
      </c>
      <c r="AB79" s="24"/>
      <c r="AC79" s="41">
        <v>144</v>
      </c>
      <c r="AD79" s="128">
        <v>79</v>
      </c>
      <c r="AE79" s="24"/>
      <c r="AF79" s="71">
        <f>AF78</f>
        <v>58</v>
      </c>
      <c r="AG79" s="72"/>
      <c r="AH79" s="73"/>
      <c r="AI79" s="74"/>
      <c r="AJ79" s="74"/>
      <c r="AK79" s="64">
        <f>$AL79</f>
        <v>7.5</v>
      </c>
      <c r="AL79" s="66">
        <f>(Simulation!$D$13-(Simulation!$D$13*Simulation!$D$12))/2</f>
        <v>7.5</v>
      </c>
      <c r="AM79" s="47">
        <f t="shared" si="51"/>
        <v>47.5</v>
      </c>
      <c r="AN79" s="48">
        <f t="shared" si="48"/>
        <v>47.5</v>
      </c>
      <c r="AO79" s="47"/>
      <c r="AP79" s="47"/>
      <c r="AQ79" s="47"/>
      <c r="AR79" s="49"/>
      <c r="AS79" s="67">
        <f>AS78</f>
        <v>0</v>
      </c>
      <c r="AT79" s="51"/>
      <c r="AU79" s="68">
        <f>Simulation!$D$13</f>
        <v>30</v>
      </c>
      <c r="AV79" s="53">
        <f>$AU$5</f>
        <v>30</v>
      </c>
      <c r="AW79" s="52">
        <f t="shared" si="49"/>
        <v>95</v>
      </c>
      <c r="AX79" s="48">
        <f t="shared" si="47"/>
        <v>0</v>
      </c>
      <c r="AY79" s="19"/>
    </row>
    <row r="80" spans="1:51" x14ac:dyDescent="0.2">
      <c r="A80" s="75"/>
      <c r="B80" s="80"/>
      <c r="C80" s="76"/>
      <c r="D80" s="76"/>
      <c r="G80" s="19">
        <f t="shared" si="50"/>
        <v>330</v>
      </c>
      <c r="H80" s="21">
        <f t="shared" si="52"/>
        <v>43.004081632653062</v>
      </c>
      <c r="I80" s="28">
        <v>0</v>
      </c>
      <c r="J80" s="39">
        <v>16.399999999999999</v>
      </c>
      <c r="L80" s="87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Y80" s="127">
        <f>(Y79+Y81)/2</f>
        <v>80</v>
      </c>
      <c r="Z80" s="129">
        <v>136</v>
      </c>
      <c r="AA80" s="131">
        <v>144</v>
      </c>
      <c r="AB80" s="24"/>
      <c r="AC80" s="131">
        <v>144</v>
      </c>
      <c r="AD80" s="127">
        <f>(AD79+AD81)/2</f>
        <v>80</v>
      </c>
      <c r="AE80" s="24">
        <v>21</v>
      </c>
      <c r="AF80" s="54">
        <f>IF(AF79&gt;7,AF79-AG80,0)</f>
        <v>28</v>
      </c>
      <c r="AG80" s="55">
        <f>MROUND($C$10*$C$13/60,2)</f>
        <v>30</v>
      </c>
      <c r="AH80" s="56"/>
      <c r="AI80" s="57"/>
      <c r="AJ80" s="57"/>
      <c r="AK80" s="58"/>
      <c r="AL80" s="59">
        <f>$C$13</f>
        <v>120</v>
      </c>
      <c r="AM80" s="47">
        <f t="shared" si="51"/>
        <v>49.5</v>
      </c>
      <c r="AN80" s="48">
        <f t="shared" si="48"/>
        <v>49.5</v>
      </c>
      <c r="AO80" s="47"/>
      <c r="AP80" s="47"/>
      <c r="AQ80" s="47"/>
      <c r="AR80" s="49">
        <v>39</v>
      </c>
      <c r="AS80" s="60">
        <f>IF(AS79&gt;7,AS79-AT80,0)</f>
        <v>0</v>
      </c>
      <c r="AT80" s="61">
        <f>MROUND($C$10*$C$13/60,2)</f>
        <v>30</v>
      </c>
      <c r="AU80" s="44"/>
      <c r="AV80" s="45">
        <f>$C$13</f>
        <v>120</v>
      </c>
      <c r="AW80" s="52">
        <f t="shared" si="49"/>
        <v>97</v>
      </c>
      <c r="AX80" s="48">
        <f t="shared" si="47"/>
        <v>0</v>
      </c>
      <c r="AY80" s="19"/>
    </row>
    <row r="81" spans="1:51" x14ac:dyDescent="0.2">
      <c r="A81" s="81"/>
      <c r="B81" s="76"/>
      <c r="C81" s="77"/>
      <c r="D81" s="76"/>
      <c r="G81" s="19">
        <f t="shared" si="50"/>
        <v>320</v>
      </c>
      <c r="H81" s="21">
        <f t="shared" si="52"/>
        <v>41.669387755102044</v>
      </c>
      <c r="I81" s="28">
        <v>0</v>
      </c>
      <c r="J81" s="39">
        <v>16.399999999999999</v>
      </c>
      <c r="L81" s="87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Y81" s="128">
        <v>81</v>
      </c>
      <c r="Z81" s="130">
        <v>137</v>
      </c>
      <c r="AA81" s="131">
        <v>146</v>
      </c>
      <c r="AB81" s="24"/>
      <c r="AC81" s="131">
        <v>146</v>
      </c>
      <c r="AD81" s="128">
        <v>81</v>
      </c>
      <c r="AE81" s="24"/>
      <c r="AF81" s="62">
        <f>AF80</f>
        <v>28</v>
      </c>
      <c r="AG81" s="63"/>
      <c r="AH81" s="64">
        <f>$AL81</f>
        <v>7.5</v>
      </c>
      <c r="AI81" s="65"/>
      <c r="AJ81" s="65"/>
      <c r="AK81" s="46"/>
      <c r="AL81" s="66">
        <f>(Simulation!$D$13-(Simulation!$D$13*Simulation!$D$12))/2</f>
        <v>7.5</v>
      </c>
      <c r="AM81" s="47">
        <f t="shared" si="51"/>
        <v>49.625</v>
      </c>
      <c r="AN81" s="48">
        <f t="shared" si="48"/>
        <v>49.625</v>
      </c>
      <c r="AO81" s="47"/>
      <c r="AP81" s="47"/>
      <c r="AQ81" s="47"/>
      <c r="AR81" s="49"/>
      <c r="AS81" s="67">
        <f>AS80</f>
        <v>0</v>
      </c>
      <c r="AT81" s="51"/>
      <c r="AU81" s="68">
        <f>Simulation!$D$13</f>
        <v>30</v>
      </c>
      <c r="AV81" s="53">
        <f>$AU$5</f>
        <v>30</v>
      </c>
      <c r="AW81" s="52">
        <f t="shared" si="49"/>
        <v>97.5</v>
      </c>
      <c r="AX81" s="48">
        <f t="shared" si="47"/>
        <v>0</v>
      </c>
      <c r="AY81" s="19"/>
    </row>
    <row r="82" spans="1:51" x14ac:dyDescent="0.2">
      <c r="G82" s="19">
        <f t="shared" si="50"/>
        <v>310</v>
      </c>
      <c r="H82" s="21">
        <f>($H$83-$H$127)/($G$83-$G$127)*$G82+($H$83-($H$83-$H$127)/($G$83-$G$127)*$G$83)</f>
        <v>40.334693877551018</v>
      </c>
      <c r="I82" s="28">
        <v>0</v>
      </c>
      <c r="J82" s="39">
        <v>16.399999999999999</v>
      </c>
      <c r="L82" s="87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Y82" s="127">
        <v>82</v>
      </c>
      <c r="Z82" s="129">
        <v>138</v>
      </c>
      <c r="AA82" s="131">
        <v>146</v>
      </c>
      <c r="AB82" s="24"/>
      <c r="AC82" s="131">
        <v>146</v>
      </c>
      <c r="AD82" s="127">
        <v>82</v>
      </c>
      <c r="AE82" s="24"/>
      <c r="AF82" s="62">
        <f>AF81+AI82</f>
        <v>58</v>
      </c>
      <c r="AG82" s="63"/>
      <c r="AH82" s="46"/>
      <c r="AI82" s="69">
        <f>IF(AJ82&gt;0,IF(Simulation!$C$10="Lithium",VLOOKUP(AJ82+$C$16,Tabella4[],3)-AF81,0),0)</f>
        <v>30</v>
      </c>
      <c r="AJ82" s="69">
        <f>IF(AF81&gt;7,VLOOKUP(AF81,Tabella44[],2),0)</f>
        <v>7</v>
      </c>
      <c r="AK82" s="46"/>
      <c r="AL82" s="70">
        <f>Simulation!$D$13*Simulation!$D$12</f>
        <v>15</v>
      </c>
      <c r="AM82" s="47">
        <f t="shared" si="51"/>
        <v>49.875</v>
      </c>
      <c r="AN82" s="48">
        <f t="shared" si="48"/>
        <v>49.875</v>
      </c>
      <c r="AO82" s="47"/>
      <c r="AP82" s="47"/>
      <c r="AQ82" s="47"/>
      <c r="AR82" s="49">
        <v>40</v>
      </c>
      <c r="AS82" s="60">
        <f>IF(AS81&gt;7,AS81-AT82,0)</f>
        <v>0</v>
      </c>
      <c r="AT82" s="61">
        <f>MROUND($C$10*$C$13/60,2)</f>
        <v>30</v>
      </c>
      <c r="AU82" s="44"/>
      <c r="AV82" s="45">
        <f>$C$13</f>
        <v>120</v>
      </c>
      <c r="AW82" s="52">
        <f t="shared" si="49"/>
        <v>99.5</v>
      </c>
      <c r="AX82" s="48">
        <f t="shared" si="47"/>
        <v>0</v>
      </c>
      <c r="AY82" s="19"/>
    </row>
    <row r="83" spans="1:51" x14ac:dyDescent="0.2">
      <c r="G83" s="38">
        <f t="shared" si="50"/>
        <v>300</v>
      </c>
      <c r="H83" s="39">
        <v>39</v>
      </c>
      <c r="I83" s="28">
        <v>0</v>
      </c>
      <c r="J83" s="39">
        <v>16.399999999999999</v>
      </c>
      <c r="L83" s="87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Y83" s="127">
        <v>83</v>
      </c>
      <c r="Z83" s="130">
        <v>138.5</v>
      </c>
      <c r="AA83" s="131">
        <v>146</v>
      </c>
      <c r="AB83" s="24"/>
      <c r="AC83" s="131">
        <v>146</v>
      </c>
      <c r="AD83" s="127">
        <v>83</v>
      </c>
      <c r="AE83" s="24"/>
      <c r="AF83" s="71">
        <f>AF82</f>
        <v>58</v>
      </c>
      <c r="AG83" s="72"/>
      <c r="AH83" s="73"/>
      <c r="AI83" s="74"/>
      <c r="AJ83" s="74"/>
      <c r="AK83" s="64">
        <f>$AL83</f>
        <v>7.5</v>
      </c>
      <c r="AL83" s="66">
        <f>(Simulation!$D$13-(Simulation!$D$13*Simulation!$D$12))/2</f>
        <v>7.5</v>
      </c>
      <c r="AM83" s="47">
        <f t="shared" si="51"/>
        <v>50</v>
      </c>
      <c r="AN83" s="48">
        <f t="shared" si="48"/>
        <v>50</v>
      </c>
      <c r="AO83" s="47"/>
      <c r="AP83" s="47"/>
      <c r="AQ83" s="47"/>
      <c r="AR83" s="49"/>
      <c r="AS83" s="67">
        <f>AS82</f>
        <v>0</v>
      </c>
      <c r="AT83" s="51"/>
      <c r="AU83" s="68">
        <f>Simulation!$D$13</f>
        <v>30</v>
      </c>
      <c r="AV83" s="53">
        <f>$AU$5</f>
        <v>30</v>
      </c>
      <c r="AW83" s="52">
        <f t="shared" si="49"/>
        <v>100</v>
      </c>
      <c r="AX83" s="48">
        <f t="shared" si="47"/>
        <v>0</v>
      </c>
      <c r="AY83" s="19"/>
    </row>
    <row r="84" spans="1:51" x14ac:dyDescent="0.2">
      <c r="G84" s="19">
        <f>G83-10</f>
        <v>290</v>
      </c>
      <c r="H84" s="21">
        <f>($H$98-$H$127)/($G$98-$G$127)*$G84+($H$98-($H$98-$H$127)/($G$98-$G$127)*$G$98)</f>
        <v>36.606896551724134</v>
      </c>
      <c r="I84" s="28">
        <v>0</v>
      </c>
      <c r="J84" s="39">
        <v>16.399999999999999</v>
      </c>
      <c r="L84" s="87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Y84" s="127">
        <v>84</v>
      </c>
      <c r="Z84" s="129">
        <v>139</v>
      </c>
      <c r="AA84" s="131">
        <v>148</v>
      </c>
      <c r="AB84" s="24"/>
      <c r="AC84" s="131">
        <v>148</v>
      </c>
      <c r="AD84" s="127">
        <v>84</v>
      </c>
      <c r="AE84" s="24">
        <v>22</v>
      </c>
      <c r="AF84" s="54">
        <f>IF(AF83&gt;7,AF83-AG84,0)</f>
        <v>28</v>
      </c>
      <c r="AG84" s="55">
        <f>MROUND($C$10*$C$13/60,2)</f>
        <v>30</v>
      </c>
      <c r="AH84" s="56"/>
      <c r="AI84" s="57"/>
      <c r="AJ84" s="57"/>
      <c r="AK84" s="58"/>
      <c r="AL84" s="59">
        <f>$C$13</f>
        <v>120</v>
      </c>
      <c r="AM84" s="47">
        <f t="shared" si="51"/>
        <v>52</v>
      </c>
      <c r="AN84" s="48">
        <f t="shared" si="48"/>
        <v>52</v>
      </c>
      <c r="AO84" s="47"/>
      <c r="AP84" s="47"/>
      <c r="AQ84" s="47"/>
      <c r="AR84" s="49">
        <v>41</v>
      </c>
      <c r="AS84" s="60">
        <f>IF(AS83&gt;7,AS83-AT84,0)</f>
        <v>0</v>
      </c>
      <c r="AT84" s="61">
        <f>MROUND($C$10*$C$13/60,2)</f>
        <v>30</v>
      </c>
      <c r="AU84" s="44"/>
      <c r="AV84" s="45">
        <f>$C$13</f>
        <v>120</v>
      </c>
      <c r="AW84" s="52">
        <f t="shared" si="49"/>
        <v>102</v>
      </c>
      <c r="AX84" s="48">
        <f t="shared" si="47"/>
        <v>0</v>
      </c>
      <c r="AY84" s="19"/>
    </row>
    <row r="85" spans="1:51" x14ac:dyDescent="0.2">
      <c r="G85" s="19">
        <f t="shared" si="50"/>
        <v>280</v>
      </c>
      <c r="H85" s="21">
        <f>($H$98-$H$127)/($G$98-$G$127)*$G85+($H$98-($H$98-$H$127)/($G$98-$G$127)*$G$98)</f>
        <v>35.317241379310346</v>
      </c>
      <c r="I85" s="28">
        <v>0</v>
      </c>
      <c r="J85" s="30">
        <v>16</v>
      </c>
      <c r="L85" s="87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Y85" s="127">
        <v>85</v>
      </c>
      <c r="Z85" s="130">
        <v>139.5</v>
      </c>
      <c r="AA85" s="131">
        <v>148</v>
      </c>
      <c r="AB85" s="24"/>
      <c r="AC85" s="131">
        <v>148</v>
      </c>
      <c r="AD85" s="127">
        <v>85</v>
      </c>
      <c r="AE85" s="24"/>
      <c r="AF85" s="62">
        <f>AF84</f>
        <v>28</v>
      </c>
      <c r="AG85" s="63"/>
      <c r="AH85" s="64">
        <f>$AL85</f>
        <v>7.5</v>
      </c>
      <c r="AI85" s="65"/>
      <c r="AJ85" s="65"/>
      <c r="AK85" s="46"/>
      <c r="AL85" s="66">
        <f>(Simulation!$D$13-(Simulation!$D$13*Simulation!$D$12))/2</f>
        <v>7.5</v>
      </c>
      <c r="AM85" s="47">
        <f t="shared" si="51"/>
        <v>52.125</v>
      </c>
      <c r="AN85" s="48">
        <f t="shared" si="48"/>
        <v>52.125</v>
      </c>
      <c r="AO85" s="47"/>
      <c r="AP85" s="47"/>
      <c r="AQ85" s="47"/>
      <c r="AR85" s="49"/>
      <c r="AS85" s="67">
        <f>AS84</f>
        <v>0</v>
      </c>
      <c r="AT85" s="51"/>
      <c r="AU85" s="68">
        <f>Simulation!$D$13</f>
        <v>30</v>
      </c>
      <c r="AV85" s="53">
        <f>$AU$5</f>
        <v>30</v>
      </c>
      <c r="AW85" s="52">
        <f t="shared" si="49"/>
        <v>102.5</v>
      </c>
      <c r="AX85" s="48">
        <f t="shared" si="47"/>
        <v>0</v>
      </c>
      <c r="AY85" s="19"/>
    </row>
    <row r="86" spans="1:51" x14ac:dyDescent="0.2">
      <c r="G86" s="19">
        <f t="shared" si="50"/>
        <v>270</v>
      </c>
      <c r="H86" s="21">
        <f t="shared" ref="H86:H94" si="53">($H$98-$H$127)/($G$98-$G$127)*$G86+($H$98-($H$98-$H$127)/($G$98-$G$127)*$G$98)</f>
        <v>34.027586206896558</v>
      </c>
      <c r="I86" s="28">
        <v>0</v>
      </c>
      <c r="J86" s="28">
        <v>15.4</v>
      </c>
      <c r="L86" s="87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Y86" s="127">
        <v>86</v>
      </c>
      <c r="Z86" s="129">
        <v>140</v>
      </c>
      <c r="AA86" s="131">
        <v>148</v>
      </c>
      <c r="AB86" s="24"/>
      <c r="AC86" s="131">
        <v>148</v>
      </c>
      <c r="AD86" s="127">
        <v>86</v>
      </c>
      <c r="AE86" s="24"/>
      <c r="AF86" s="62">
        <f>AF85+AI86</f>
        <v>58</v>
      </c>
      <c r="AG86" s="63"/>
      <c r="AH86" s="46"/>
      <c r="AI86" s="69">
        <f>IF(AJ86&gt;0,IF(Simulation!$C$10="Lithium",VLOOKUP(AJ86+$C$16,Tabella4[],3)-AF85,0),0)</f>
        <v>30</v>
      </c>
      <c r="AJ86" s="69">
        <f>IF(AF85&gt;7,VLOOKUP(AF85,Tabella44[],2),0)</f>
        <v>7</v>
      </c>
      <c r="AK86" s="46"/>
      <c r="AL86" s="70">
        <f>Simulation!$D$13*Simulation!$D$12</f>
        <v>15</v>
      </c>
      <c r="AM86" s="47">
        <f t="shared" si="51"/>
        <v>52.375</v>
      </c>
      <c r="AN86" s="48">
        <f t="shared" si="48"/>
        <v>52.375</v>
      </c>
      <c r="AO86" s="47"/>
      <c r="AP86" s="47"/>
      <c r="AQ86" s="47"/>
      <c r="AR86" s="49">
        <v>42</v>
      </c>
      <c r="AS86" s="60">
        <f>IF(AS85&gt;7,AS85-AT86,0)</f>
        <v>0</v>
      </c>
      <c r="AT86" s="61">
        <f>MROUND($C$10*$C$13/60,2)</f>
        <v>30</v>
      </c>
      <c r="AU86" s="44"/>
      <c r="AV86" s="45">
        <f>$C$13</f>
        <v>120</v>
      </c>
      <c r="AW86" s="52">
        <f t="shared" si="49"/>
        <v>104.5</v>
      </c>
      <c r="AX86" s="48">
        <f t="shared" si="47"/>
        <v>0</v>
      </c>
      <c r="AY86" s="19"/>
    </row>
    <row r="87" spans="1:51" x14ac:dyDescent="0.2">
      <c r="G87" s="19">
        <f t="shared" si="50"/>
        <v>260</v>
      </c>
      <c r="H87" s="21">
        <f t="shared" si="53"/>
        <v>32.737931034482756</v>
      </c>
      <c r="I87" s="28">
        <v>0</v>
      </c>
      <c r="J87" s="28">
        <f>(J84+J90)/2</f>
        <v>14.75</v>
      </c>
      <c r="L87" s="87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Y87" s="88"/>
      <c r="Z87" s="29"/>
      <c r="AA87" s="29"/>
      <c r="AB87" s="24"/>
      <c r="AC87" s="87"/>
      <c r="AD87" s="29"/>
      <c r="AE87" s="24"/>
      <c r="AF87" s="71">
        <f>AF86</f>
        <v>58</v>
      </c>
      <c r="AG87" s="72"/>
      <c r="AH87" s="73"/>
      <c r="AI87" s="74"/>
      <c r="AJ87" s="74"/>
      <c r="AK87" s="64">
        <f>$AL87</f>
        <v>7.5</v>
      </c>
      <c r="AL87" s="66">
        <f>(Simulation!$D$13-(Simulation!$D$13*Simulation!$D$12))/2</f>
        <v>7.5</v>
      </c>
      <c r="AM87" s="47">
        <f t="shared" si="51"/>
        <v>52.5</v>
      </c>
      <c r="AN87" s="48">
        <f t="shared" si="48"/>
        <v>52.5</v>
      </c>
      <c r="AO87" s="47"/>
      <c r="AP87" s="47"/>
      <c r="AQ87" s="47"/>
      <c r="AR87" s="49"/>
      <c r="AS87" s="67">
        <f>AS86</f>
        <v>0</v>
      </c>
      <c r="AT87" s="51"/>
      <c r="AU87" s="68">
        <f>Simulation!$D$13</f>
        <v>30</v>
      </c>
      <c r="AV87" s="53">
        <f>$AU$5</f>
        <v>30</v>
      </c>
      <c r="AW87" s="52">
        <f t="shared" si="49"/>
        <v>105</v>
      </c>
      <c r="AX87" s="48">
        <f t="shared" si="47"/>
        <v>0</v>
      </c>
      <c r="AY87" s="19"/>
    </row>
    <row r="88" spans="1:51" x14ac:dyDescent="0.2">
      <c r="G88" s="19">
        <f t="shared" si="50"/>
        <v>250</v>
      </c>
      <c r="H88" s="21">
        <f t="shared" si="53"/>
        <v>31.448275862068964</v>
      </c>
      <c r="I88" s="28">
        <v>0</v>
      </c>
      <c r="J88" s="28">
        <v>14.1</v>
      </c>
      <c r="L88" s="87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Y88" s="88"/>
      <c r="Z88" s="29"/>
      <c r="AA88" s="29"/>
      <c r="AB88" s="24"/>
      <c r="AC88" s="87"/>
      <c r="AD88" s="29"/>
      <c r="AE88" s="24">
        <v>23</v>
      </c>
      <c r="AF88" s="54">
        <f>IF(AF87&gt;7,AF87-AG88,0)</f>
        <v>28</v>
      </c>
      <c r="AG88" s="55">
        <f>MROUND($C$10*$C$13/60,2)</f>
        <v>30</v>
      </c>
      <c r="AH88" s="56"/>
      <c r="AI88" s="57"/>
      <c r="AJ88" s="57"/>
      <c r="AK88" s="58"/>
      <c r="AL88" s="59">
        <f>$C$13</f>
        <v>120</v>
      </c>
      <c r="AM88" s="47">
        <f t="shared" si="51"/>
        <v>54.5</v>
      </c>
      <c r="AN88" s="48">
        <f t="shared" si="48"/>
        <v>54.5</v>
      </c>
      <c r="AO88" s="47"/>
      <c r="AP88" s="47"/>
      <c r="AQ88" s="47"/>
      <c r="AR88" s="49">
        <v>43</v>
      </c>
      <c r="AS88" s="60">
        <f>IF(AS87&gt;7,AS87-AT88,0)</f>
        <v>0</v>
      </c>
      <c r="AT88" s="61">
        <f>MROUND($C$10*$C$13/60,2)</f>
        <v>30</v>
      </c>
      <c r="AU88" s="44"/>
      <c r="AV88" s="45">
        <f>$C$13</f>
        <v>120</v>
      </c>
      <c r="AW88" s="52">
        <f t="shared" si="49"/>
        <v>107</v>
      </c>
      <c r="AX88" s="48">
        <f t="shared" si="47"/>
        <v>0</v>
      </c>
      <c r="AY88" s="19"/>
    </row>
    <row r="89" spans="1:51" x14ac:dyDescent="0.2">
      <c r="G89" s="19">
        <f>G88-5</f>
        <v>245</v>
      </c>
      <c r="H89" s="21">
        <f t="shared" si="53"/>
        <v>30.80344827586207</v>
      </c>
      <c r="I89" s="28">
        <v>0</v>
      </c>
      <c r="J89" s="28">
        <v>13.6</v>
      </c>
      <c r="L89" s="87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Y89" s="88"/>
      <c r="Z89" s="29"/>
      <c r="AA89" s="29"/>
      <c r="AB89" s="24"/>
      <c r="AC89" s="87"/>
      <c r="AD89" s="29"/>
      <c r="AE89" s="24"/>
      <c r="AF89" s="62">
        <f>AF88</f>
        <v>28</v>
      </c>
      <c r="AG89" s="63"/>
      <c r="AH89" s="64">
        <f>$AL89</f>
        <v>7.5</v>
      </c>
      <c r="AI89" s="65"/>
      <c r="AJ89" s="65"/>
      <c r="AK89" s="46"/>
      <c r="AL89" s="66">
        <f>(Simulation!$D$13-(Simulation!$D$13*Simulation!$D$12))/2</f>
        <v>7.5</v>
      </c>
      <c r="AM89" s="47">
        <f t="shared" si="51"/>
        <v>54.625</v>
      </c>
      <c r="AN89" s="48">
        <f t="shared" si="48"/>
        <v>54.625</v>
      </c>
      <c r="AO89" s="47"/>
      <c r="AP89" s="47"/>
      <c r="AQ89" s="47"/>
      <c r="AR89" s="49"/>
      <c r="AS89" s="67">
        <f>AS88</f>
        <v>0</v>
      </c>
      <c r="AT89" s="51"/>
      <c r="AU89" s="68">
        <f>Simulation!$D$13</f>
        <v>30</v>
      </c>
      <c r="AV89" s="53">
        <f>$AU$5</f>
        <v>30</v>
      </c>
      <c r="AW89" s="52">
        <f t="shared" si="49"/>
        <v>107.5</v>
      </c>
      <c r="AX89" s="48">
        <f t="shared" si="47"/>
        <v>0</v>
      </c>
      <c r="AY89" s="19"/>
    </row>
    <row r="90" spans="1:51" x14ac:dyDescent="0.2">
      <c r="G90" s="19">
        <f t="shared" ref="G90:G138" si="54">G89-5</f>
        <v>240</v>
      </c>
      <c r="H90" s="21">
        <f t="shared" si="53"/>
        <v>30.158620689655173</v>
      </c>
      <c r="I90" s="28">
        <v>0</v>
      </c>
      <c r="J90" s="39">
        <v>13.1</v>
      </c>
      <c r="L90" s="87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Y90" s="88"/>
      <c r="Z90" s="29"/>
      <c r="AA90" s="29"/>
      <c r="AB90" s="24"/>
      <c r="AC90" s="87"/>
      <c r="AD90" s="29"/>
      <c r="AE90" s="24"/>
      <c r="AF90" s="62">
        <f>AF89+AI90</f>
        <v>58</v>
      </c>
      <c r="AG90" s="63"/>
      <c r="AH90" s="46"/>
      <c r="AI90" s="69">
        <f>IF(AJ90&gt;0,IF(Simulation!$C$10="Lithium",VLOOKUP(AJ90+$C$16,Tabella4[],3)-AF89,0),0)</f>
        <v>30</v>
      </c>
      <c r="AJ90" s="69">
        <f>IF(AF89&gt;7,VLOOKUP(AF89,Tabella44[],2),0)</f>
        <v>7</v>
      </c>
      <c r="AK90" s="46"/>
      <c r="AL90" s="70">
        <f>Simulation!$D$13*Simulation!$D$12</f>
        <v>15</v>
      </c>
      <c r="AM90" s="47">
        <f t="shared" si="51"/>
        <v>54.875</v>
      </c>
      <c r="AN90" s="48">
        <f t="shared" si="48"/>
        <v>54.875</v>
      </c>
      <c r="AO90" s="47"/>
      <c r="AP90" s="47"/>
      <c r="AQ90" s="47"/>
      <c r="AR90" s="49">
        <v>44</v>
      </c>
      <c r="AS90" s="60">
        <f>IF(AS89&gt;7,AS89-AT90,0)</f>
        <v>0</v>
      </c>
      <c r="AT90" s="61">
        <f>MROUND($C$10*$C$13/60,2)</f>
        <v>30</v>
      </c>
      <c r="AU90" s="44"/>
      <c r="AV90" s="45">
        <f>$C$13</f>
        <v>120</v>
      </c>
      <c r="AW90" s="52">
        <f t="shared" si="49"/>
        <v>109.5</v>
      </c>
      <c r="AX90" s="48">
        <f t="shared" si="47"/>
        <v>0</v>
      </c>
      <c r="AY90" s="19"/>
    </row>
    <row r="91" spans="1:51" x14ac:dyDescent="0.2">
      <c r="A91" s="89"/>
      <c r="B91" s="19"/>
      <c r="C91" s="19"/>
      <c r="D91" s="19"/>
      <c r="E91" s="19"/>
      <c r="G91" s="19">
        <f t="shared" si="54"/>
        <v>235</v>
      </c>
      <c r="H91" s="21">
        <f t="shared" si="53"/>
        <v>29.513793103448275</v>
      </c>
      <c r="I91" s="28">
        <v>0</v>
      </c>
      <c r="J91" s="28">
        <v>12.8</v>
      </c>
      <c r="L91" s="87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Y91" s="88"/>
      <c r="Z91" s="29"/>
      <c r="AA91" s="29"/>
      <c r="AB91" s="24"/>
      <c r="AC91" s="87"/>
      <c r="AD91" s="29"/>
      <c r="AE91" s="24"/>
      <c r="AF91" s="71">
        <f>AF90</f>
        <v>58</v>
      </c>
      <c r="AG91" s="72"/>
      <c r="AH91" s="73"/>
      <c r="AI91" s="74"/>
      <c r="AJ91" s="74"/>
      <c r="AK91" s="64">
        <f>$AL91</f>
        <v>7.5</v>
      </c>
      <c r="AL91" s="66">
        <f>(Simulation!$D$13-(Simulation!$D$13*Simulation!$D$12))/2</f>
        <v>7.5</v>
      </c>
      <c r="AM91" s="47">
        <f t="shared" si="51"/>
        <v>55</v>
      </c>
      <c r="AN91" s="48">
        <f t="shared" si="48"/>
        <v>55</v>
      </c>
      <c r="AO91" s="47"/>
      <c r="AP91" s="47"/>
      <c r="AQ91" s="47"/>
      <c r="AR91" s="49"/>
      <c r="AS91" s="67">
        <f>AS90</f>
        <v>0</v>
      </c>
      <c r="AT91" s="51"/>
      <c r="AU91" s="68">
        <f>Simulation!$D$13</f>
        <v>30</v>
      </c>
      <c r="AV91" s="53">
        <f>$AU$5</f>
        <v>30</v>
      </c>
      <c r="AW91" s="52">
        <f t="shared" si="49"/>
        <v>110</v>
      </c>
      <c r="AX91" s="48">
        <f t="shared" si="47"/>
        <v>0</v>
      </c>
      <c r="AY91" s="19"/>
    </row>
    <row r="92" spans="1:51" x14ac:dyDescent="0.2">
      <c r="A92" s="89"/>
      <c r="B92" s="19"/>
      <c r="C92" s="19"/>
      <c r="D92" s="19"/>
      <c r="E92" s="19"/>
      <c r="G92" s="19">
        <f t="shared" si="54"/>
        <v>230</v>
      </c>
      <c r="H92" s="21">
        <f t="shared" si="53"/>
        <v>28.868965517241378</v>
      </c>
      <c r="I92" s="28">
        <v>0</v>
      </c>
      <c r="J92" s="28">
        <v>12.5</v>
      </c>
      <c r="L92" s="87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Y92" s="88"/>
      <c r="Z92" s="29"/>
      <c r="AA92" s="29"/>
      <c r="AB92" s="24"/>
      <c r="AC92" s="87"/>
      <c r="AD92" s="29"/>
      <c r="AE92" s="24">
        <v>24</v>
      </c>
      <c r="AF92" s="54">
        <f>IF(AF91&gt;7,AF91-AG92,0)</f>
        <v>28</v>
      </c>
      <c r="AG92" s="55">
        <f>MROUND($C$10*$C$13/60,2)</f>
        <v>30</v>
      </c>
      <c r="AH92" s="56"/>
      <c r="AI92" s="57"/>
      <c r="AJ92" s="57"/>
      <c r="AK92" s="58"/>
      <c r="AL92" s="59">
        <f>$C$13</f>
        <v>120</v>
      </c>
      <c r="AM92" s="47">
        <f t="shared" si="51"/>
        <v>57</v>
      </c>
      <c r="AN92" s="48">
        <f t="shared" si="48"/>
        <v>57</v>
      </c>
      <c r="AO92" s="47"/>
      <c r="AP92" s="47"/>
      <c r="AQ92" s="47"/>
      <c r="AR92" s="49">
        <v>45</v>
      </c>
      <c r="AS92" s="60">
        <f>IF(AS91&gt;7,AS91-AT92,0)</f>
        <v>0</v>
      </c>
      <c r="AT92" s="61">
        <f>MROUND($C$10*$C$13/60,2)</f>
        <v>30</v>
      </c>
      <c r="AU92" s="44"/>
      <c r="AV92" s="45">
        <f>$C$13</f>
        <v>120</v>
      </c>
      <c r="AW92" s="52">
        <f t="shared" si="49"/>
        <v>112</v>
      </c>
      <c r="AX92" s="48">
        <f t="shared" si="47"/>
        <v>0</v>
      </c>
      <c r="AY92" s="19"/>
    </row>
    <row r="93" spans="1:51" x14ac:dyDescent="0.2">
      <c r="A93" s="90"/>
      <c r="B93" s="19"/>
      <c r="C93" s="19"/>
      <c r="D93" s="19"/>
      <c r="E93" s="19"/>
      <c r="G93" s="19">
        <f t="shared" si="54"/>
        <v>225</v>
      </c>
      <c r="H93" s="21">
        <f t="shared" si="53"/>
        <v>28.224137931034484</v>
      </c>
      <c r="I93" s="28">
        <v>0</v>
      </c>
      <c r="J93" s="28">
        <f>(J90+J96)/2</f>
        <v>12.2</v>
      </c>
      <c r="L93" s="87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Y93" s="88"/>
      <c r="Z93" s="29"/>
      <c r="AA93" s="29"/>
      <c r="AB93" s="24"/>
      <c r="AC93" s="87"/>
      <c r="AD93" s="29"/>
      <c r="AE93" s="24"/>
      <c r="AF93" s="62">
        <f>AF92</f>
        <v>28</v>
      </c>
      <c r="AG93" s="63"/>
      <c r="AH93" s="64">
        <f>$AL93</f>
        <v>7.5</v>
      </c>
      <c r="AI93" s="65"/>
      <c r="AJ93" s="65"/>
      <c r="AK93" s="46"/>
      <c r="AL93" s="66">
        <f>(Simulation!$D$13-(Simulation!$D$13*Simulation!$D$12))/2</f>
        <v>7.5</v>
      </c>
      <c r="AM93" s="47">
        <f t="shared" si="51"/>
        <v>57.125</v>
      </c>
      <c r="AN93" s="48">
        <f t="shared" si="48"/>
        <v>57.125</v>
      </c>
      <c r="AO93" s="47"/>
      <c r="AP93" s="47"/>
      <c r="AQ93" s="47"/>
      <c r="AR93" s="49"/>
      <c r="AS93" s="67">
        <f>AS92</f>
        <v>0</v>
      </c>
      <c r="AT93" s="51"/>
      <c r="AU93" s="68">
        <f>Simulation!$D$13</f>
        <v>30</v>
      </c>
      <c r="AV93" s="53">
        <f>$AU$5</f>
        <v>30</v>
      </c>
      <c r="AW93" s="52">
        <f t="shared" si="49"/>
        <v>112.5</v>
      </c>
      <c r="AX93" s="48">
        <f t="shared" si="47"/>
        <v>0</v>
      </c>
      <c r="AY93" s="19"/>
    </row>
    <row r="94" spans="1:51" x14ac:dyDescent="0.2">
      <c r="A94" s="89"/>
      <c r="B94" s="19"/>
      <c r="C94" s="19"/>
      <c r="D94" s="19"/>
      <c r="E94" s="19"/>
      <c r="G94" s="19">
        <f t="shared" si="54"/>
        <v>220</v>
      </c>
      <c r="H94" s="21">
        <f t="shared" si="53"/>
        <v>27.579310344827586</v>
      </c>
      <c r="I94" s="28">
        <v>0</v>
      </c>
      <c r="J94" s="28">
        <v>11.9</v>
      </c>
      <c r="L94" s="87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Y94" s="91"/>
      <c r="Z94" s="29"/>
      <c r="AA94" s="29"/>
      <c r="AB94" s="24"/>
      <c r="AC94" s="19"/>
      <c r="AD94" s="29"/>
      <c r="AE94" s="24"/>
      <c r="AF94" s="62">
        <f>AF93+AI94</f>
        <v>58</v>
      </c>
      <c r="AG94" s="63"/>
      <c r="AH94" s="46"/>
      <c r="AI94" s="69">
        <f>IF(AJ94&gt;0,IF(Simulation!$C$10="Lithium",VLOOKUP(AJ94+$C$16,Tabella4[],3)-AF93,0),0)</f>
        <v>30</v>
      </c>
      <c r="AJ94" s="69">
        <f>IF(AF93&gt;7,VLOOKUP(AF93,Tabella44[],2),0)</f>
        <v>7</v>
      </c>
      <c r="AK94" s="46"/>
      <c r="AL94" s="70">
        <f>Simulation!$D$13*Simulation!$D$12</f>
        <v>15</v>
      </c>
      <c r="AM94" s="47">
        <f t="shared" si="51"/>
        <v>57.375</v>
      </c>
      <c r="AN94" s="48">
        <f t="shared" si="48"/>
        <v>57.375</v>
      </c>
      <c r="AO94" s="47"/>
      <c r="AP94" s="47"/>
      <c r="AQ94" s="47"/>
      <c r="AR94" s="49">
        <v>46</v>
      </c>
      <c r="AS94" s="60">
        <f>IF(AS93&gt;7,AS93-AT94,0)</f>
        <v>0</v>
      </c>
      <c r="AT94" s="61">
        <f>MROUND($C$10*$C$13/60,2)</f>
        <v>30</v>
      </c>
      <c r="AU94" s="44"/>
      <c r="AV94" s="45">
        <f>$C$13</f>
        <v>120</v>
      </c>
      <c r="AW94" s="52">
        <f t="shared" si="49"/>
        <v>114.5</v>
      </c>
      <c r="AX94" s="48">
        <f t="shared" si="47"/>
        <v>0</v>
      </c>
      <c r="AY94" s="19"/>
    </row>
    <row r="95" spans="1:51" x14ac:dyDescent="0.2">
      <c r="A95" s="75"/>
      <c r="B95" s="76"/>
      <c r="C95" s="76"/>
      <c r="D95" s="76"/>
      <c r="E95" s="19"/>
      <c r="G95" s="19">
        <f t="shared" si="54"/>
        <v>215</v>
      </c>
      <c r="H95" s="21">
        <f>($H$98-$H$127)/($G$98-$G$127)*$G95+($H$98-($H$98-$H$127)/($G$98-$G$127)*$G$98)</f>
        <v>26.934482758620689</v>
      </c>
      <c r="I95" s="28">
        <v>0</v>
      </c>
      <c r="J95" s="28">
        <v>11.6</v>
      </c>
      <c r="L95" s="87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Y95" s="91"/>
      <c r="Z95" s="29"/>
      <c r="AA95" s="29"/>
      <c r="AB95" s="24"/>
      <c r="AC95" s="19"/>
      <c r="AD95" s="29"/>
      <c r="AE95" s="24"/>
      <c r="AF95" s="71">
        <f>AF94</f>
        <v>58</v>
      </c>
      <c r="AG95" s="72"/>
      <c r="AH95" s="73"/>
      <c r="AI95" s="74"/>
      <c r="AJ95" s="74"/>
      <c r="AK95" s="64">
        <f>$AL95</f>
        <v>7.5</v>
      </c>
      <c r="AL95" s="66">
        <f>(Simulation!$D$13-(Simulation!$D$13*Simulation!$D$12))/2</f>
        <v>7.5</v>
      </c>
      <c r="AM95" s="47">
        <f t="shared" si="51"/>
        <v>57.5</v>
      </c>
      <c r="AN95" s="48">
        <f t="shared" si="48"/>
        <v>57.5</v>
      </c>
      <c r="AO95" s="47"/>
      <c r="AP95" s="47"/>
      <c r="AQ95" s="47"/>
      <c r="AR95" s="49"/>
      <c r="AS95" s="67">
        <f>AS94</f>
        <v>0</v>
      </c>
      <c r="AT95" s="51"/>
      <c r="AU95" s="68">
        <f>Simulation!$D$13</f>
        <v>30</v>
      </c>
      <c r="AV95" s="53">
        <f>$AU$5</f>
        <v>30</v>
      </c>
      <c r="AW95" s="52">
        <f t="shared" si="49"/>
        <v>115</v>
      </c>
      <c r="AX95" s="48">
        <f t="shared" si="47"/>
        <v>0</v>
      </c>
      <c r="AY95" s="19"/>
    </row>
    <row r="96" spans="1:51" x14ac:dyDescent="0.2">
      <c r="A96" s="75"/>
      <c r="B96" s="76"/>
      <c r="C96" s="76"/>
      <c r="D96" s="76"/>
      <c r="E96" s="19"/>
      <c r="G96" s="19">
        <f t="shared" si="54"/>
        <v>210</v>
      </c>
      <c r="H96" s="21">
        <f t="shared" ref="H96" si="55">($H$98-$H$127)/($G$98-$G$127)*$G96+($H$98-($H$98-$H$127)/($G$98-$G$127)*$G$98)</f>
        <v>26.289655172413795</v>
      </c>
      <c r="I96" s="28">
        <v>0</v>
      </c>
      <c r="J96" s="39">
        <v>11.3</v>
      </c>
      <c r="L96" s="87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Y96" s="91"/>
      <c r="Z96" s="29"/>
      <c r="AA96" s="29"/>
      <c r="AB96" s="24"/>
      <c r="AC96" s="19"/>
      <c r="AD96" s="29"/>
      <c r="AE96" s="24">
        <v>25</v>
      </c>
      <c r="AF96" s="54">
        <f>IF(AF95&gt;7,AF95-AG96,0)</f>
        <v>28</v>
      </c>
      <c r="AG96" s="55">
        <f>MROUND($C$10*$C$13/60,2)</f>
        <v>30</v>
      </c>
      <c r="AH96" s="56"/>
      <c r="AI96" s="57"/>
      <c r="AJ96" s="57"/>
      <c r="AK96" s="58"/>
      <c r="AL96" s="59">
        <f>$C$13</f>
        <v>120</v>
      </c>
      <c r="AM96" s="47">
        <f t="shared" si="51"/>
        <v>59.5</v>
      </c>
      <c r="AN96" s="48">
        <f t="shared" si="48"/>
        <v>59.5</v>
      </c>
      <c r="AO96" s="47"/>
      <c r="AP96" s="47"/>
      <c r="AQ96" s="47"/>
      <c r="AR96" s="49">
        <v>47</v>
      </c>
      <c r="AS96" s="60">
        <f>IF(AS95&gt;7,AS95-AT96,0)</f>
        <v>0</v>
      </c>
      <c r="AT96" s="61">
        <f>MROUND($C$10*$C$13/60,2)</f>
        <v>30</v>
      </c>
      <c r="AU96" s="44"/>
      <c r="AV96" s="45">
        <f>$C$13</f>
        <v>120</v>
      </c>
      <c r="AW96" s="52">
        <f t="shared" si="49"/>
        <v>117</v>
      </c>
      <c r="AX96" s="48">
        <f t="shared" si="47"/>
        <v>0</v>
      </c>
      <c r="AY96" s="19"/>
    </row>
    <row r="97" spans="1:51" x14ac:dyDescent="0.2">
      <c r="A97" s="75"/>
      <c r="B97" s="78"/>
      <c r="C97" s="76"/>
      <c r="D97" s="76"/>
      <c r="E97" s="19"/>
      <c r="G97" s="19">
        <f t="shared" si="54"/>
        <v>205</v>
      </c>
      <c r="H97" s="21">
        <f>($H$98-$H$127)/($G$98-$G$127)*$G97+($H$98-($H$98-$H$127)/($G$98-$G$127)*$G$98)</f>
        <v>25.644827586206898</v>
      </c>
      <c r="I97" s="28">
        <v>0</v>
      </c>
      <c r="J97" s="28">
        <v>11.1</v>
      </c>
      <c r="L97" s="87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Y97" s="91"/>
      <c r="Z97" s="29"/>
      <c r="AA97" s="29"/>
      <c r="AB97" s="24"/>
      <c r="AC97" s="19"/>
      <c r="AD97" s="29"/>
      <c r="AE97" s="24"/>
      <c r="AF97" s="62">
        <f>AF96</f>
        <v>28</v>
      </c>
      <c r="AG97" s="63"/>
      <c r="AH97" s="64">
        <f>$AL97</f>
        <v>7.5</v>
      </c>
      <c r="AI97" s="65"/>
      <c r="AJ97" s="65"/>
      <c r="AK97" s="46"/>
      <c r="AL97" s="66">
        <f>(Simulation!$D$13-(Simulation!$D$13*Simulation!$D$12))/2</f>
        <v>7.5</v>
      </c>
      <c r="AM97" s="47">
        <f t="shared" si="51"/>
        <v>59.625</v>
      </c>
      <c r="AN97" s="48">
        <f t="shared" si="48"/>
        <v>59.625</v>
      </c>
      <c r="AO97" s="47"/>
      <c r="AP97" s="47"/>
      <c r="AQ97" s="47"/>
      <c r="AR97" s="49"/>
      <c r="AS97" s="67">
        <f>AS96</f>
        <v>0</v>
      </c>
      <c r="AT97" s="51"/>
      <c r="AU97" s="68">
        <f>Simulation!$D$13</f>
        <v>30</v>
      </c>
      <c r="AV97" s="53">
        <f>$AU$5</f>
        <v>30</v>
      </c>
      <c r="AW97" s="52">
        <f t="shared" si="49"/>
        <v>117.5</v>
      </c>
      <c r="AX97" s="48">
        <f t="shared" si="47"/>
        <v>0</v>
      </c>
      <c r="AY97" s="19"/>
    </row>
    <row r="98" spans="1:51" x14ac:dyDescent="0.2">
      <c r="A98" s="75"/>
      <c r="B98" s="76"/>
      <c r="C98" s="76"/>
      <c r="D98" s="76"/>
      <c r="E98" s="19"/>
      <c r="G98" s="38">
        <f t="shared" si="54"/>
        <v>200</v>
      </c>
      <c r="H98" s="39">
        <v>25</v>
      </c>
      <c r="I98" s="28">
        <v>0</v>
      </c>
      <c r="J98" s="30">
        <v>11</v>
      </c>
      <c r="L98" s="87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Y98" s="91"/>
      <c r="Z98" s="29"/>
      <c r="AA98" s="29"/>
      <c r="AB98" s="24"/>
      <c r="AC98" s="19"/>
      <c r="AD98" s="29"/>
      <c r="AE98" s="24"/>
      <c r="AF98" s="62">
        <f>AF97+AI98</f>
        <v>58</v>
      </c>
      <c r="AG98" s="63"/>
      <c r="AH98" s="46"/>
      <c r="AI98" s="69">
        <f>IF(AJ98&gt;0,IF(Simulation!$C$10="Lithium",VLOOKUP(AJ98+$C$16,Tabella4[],3)-AF97,0),0)</f>
        <v>30</v>
      </c>
      <c r="AJ98" s="69">
        <f>IF(AF97&gt;7,VLOOKUP(AF97,Tabella44[],2),0)</f>
        <v>7</v>
      </c>
      <c r="AK98" s="46"/>
      <c r="AL98" s="70">
        <f>Simulation!$D$13*Simulation!$D$12</f>
        <v>15</v>
      </c>
      <c r="AM98" s="47">
        <f t="shared" si="51"/>
        <v>59.875</v>
      </c>
      <c r="AN98" s="48">
        <f t="shared" si="48"/>
        <v>59.875</v>
      </c>
      <c r="AO98" s="47"/>
      <c r="AP98" s="47"/>
      <c r="AQ98" s="47"/>
      <c r="AR98" s="49">
        <v>48</v>
      </c>
      <c r="AS98" s="60">
        <f>IF(AS97&gt;7,AS97-AT98,0)</f>
        <v>0</v>
      </c>
      <c r="AT98" s="61">
        <f>MROUND($C$10*$C$13/60,2)</f>
        <v>30</v>
      </c>
      <c r="AU98" s="44"/>
      <c r="AV98" s="45">
        <f>$C$13</f>
        <v>120</v>
      </c>
      <c r="AW98" s="52">
        <f t="shared" si="49"/>
        <v>119.5</v>
      </c>
      <c r="AX98" s="48">
        <f t="shared" si="47"/>
        <v>0</v>
      </c>
      <c r="AY98" s="19"/>
    </row>
    <row r="99" spans="1:51" x14ac:dyDescent="0.2">
      <c r="A99" s="75"/>
      <c r="B99" s="76"/>
      <c r="C99" s="76"/>
      <c r="D99" s="76"/>
      <c r="E99" s="19"/>
      <c r="G99" s="19">
        <f t="shared" si="54"/>
        <v>195</v>
      </c>
      <c r="H99" s="21">
        <f>($H$98-$H$127)/($G$98-$G$127)*$G99+($H$98-($H$98-$H$127)/($G$98-$G$127)*$G$98)</f>
        <v>24.355172413793102</v>
      </c>
      <c r="I99" s="28">
        <v>0</v>
      </c>
      <c r="J99" s="28">
        <f>(J96+J102)/2</f>
        <v>10.75</v>
      </c>
      <c r="L99" s="87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Y99" s="91"/>
      <c r="Z99" s="29"/>
      <c r="AA99" s="29"/>
      <c r="AB99" s="24"/>
      <c r="AC99" s="19"/>
      <c r="AD99" s="29"/>
      <c r="AE99" s="24"/>
      <c r="AF99" s="71">
        <f>AF98</f>
        <v>58</v>
      </c>
      <c r="AG99" s="72"/>
      <c r="AH99" s="73"/>
      <c r="AI99" s="74"/>
      <c r="AJ99" s="74"/>
      <c r="AK99" s="64">
        <f>$AL99</f>
        <v>7.5</v>
      </c>
      <c r="AL99" s="66">
        <f>(Simulation!$D$13-(Simulation!$D$13*Simulation!$D$12))/2</f>
        <v>7.5</v>
      </c>
      <c r="AM99" s="47">
        <f t="shared" si="51"/>
        <v>60</v>
      </c>
      <c r="AN99" s="48">
        <f t="shared" si="48"/>
        <v>60</v>
      </c>
      <c r="AO99" s="47"/>
      <c r="AP99" s="47"/>
      <c r="AQ99" s="47"/>
      <c r="AR99" s="49"/>
      <c r="AS99" s="67">
        <f>AS98</f>
        <v>0</v>
      </c>
      <c r="AT99" s="51"/>
      <c r="AU99" s="68">
        <f>Simulation!$D$13</f>
        <v>30</v>
      </c>
      <c r="AV99" s="53">
        <f>$AU$5</f>
        <v>30</v>
      </c>
      <c r="AW99" s="52">
        <f t="shared" si="49"/>
        <v>120</v>
      </c>
      <c r="AX99" s="48">
        <f t="shared" si="47"/>
        <v>0</v>
      </c>
      <c r="AY99" s="19"/>
    </row>
    <row r="100" spans="1:51" x14ac:dyDescent="0.2">
      <c r="A100" s="75"/>
      <c r="B100" s="76"/>
      <c r="C100" s="76"/>
      <c r="D100" s="76"/>
      <c r="E100" s="19"/>
      <c r="G100" s="19">
        <f t="shared" si="54"/>
        <v>190</v>
      </c>
      <c r="H100" s="21">
        <f t="shared" ref="H100:H125" si="56">($H$98-$H$127)/($G$98-$G$127)*$G100+($H$98-($H$98-$H$127)/($G$98-$G$127)*$G$98)</f>
        <v>23.710344827586209</v>
      </c>
      <c r="I100" s="28">
        <v>0</v>
      </c>
      <c r="J100" s="28">
        <v>10.6</v>
      </c>
      <c r="L100" s="87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Y100" s="91"/>
      <c r="Z100" s="29"/>
      <c r="AA100" s="29"/>
      <c r="AB100" s="24"/>
      <c r="AC100" s="19"/>
      <c r="AD100" s="29"/>
      <c r="AE100" s="24">
        <v>26</v>
      </c>
      <c r="AF100" s="54">
        <f>IF(AF99&gt;7,AF99-AG100,0)</f>
        <v>28</v>
      </c>
      <c r="AG100" s="55">
        <f>MROUND($C$10*$C$13/60,2)</f>
        <v>30</v>
      </c>
      <c r="AH100" s="56"/>
      <c r="AI100" s="57"/>
      <c r="AJ100" s="57"/>
      <c r="AK100" s="58"/>
      <c r="AL100" s="59">
        <f>$C$13</f>
        <v>120</v>
      </c>
      <c r="AM100" s="47">
        <f t="shared" si="51"/>
        <v>62</v>
      </c>
      <c r="AN100" s="48">
        <f t="shared" si="48"/>
        <v>62</v>
      </c>
      <c r="AO100" s="47"/>
      <c r="AP100" s="47"/>
      <c r="AQ100" s="47"/>
      <c r="AR100" s="49">
        <v>49</v>
      </c>
      <c r="AS100" s="60">
        <f>IF(AS99&gt;7,AS99-AT100,0)</f>
        <v>0</v>
      </c>
      <c r="AT100" s="61">
        <f>MROUND($C$10*$C$13/60,2)</f>
        <v>30</v>
      </c>
      <c r="AU100" s="44"/>
      <c r="AV100" s="45">
        <f>$C$13</f>
        <v>120</v>
      </c>
      <c r="AW100" s="52">
        <f t="shared" si="49"/>
        <v>122</v>
      </c>
      <c r="AX100" s="48">
        <f t="shared" si="47"/>
        <v>0</v>
      </c>
      <c r="AY100" s="19"/>
    </row>
    <row r="101" spans="1:51" x14ac:dyDescent="0.2">
      <c r="A101" s="75"/>
      <c r="B101" s="76"/>
      <c r="C101" s="76"/>
      <c r="D101" s="76"/>
      <c r="E101" s="19"/>
      <c r="G101" s="19">
        <f t="shared" si="54"/>
        <v>185</v>
      </c>
      <c r="H101" s="21">
        <f t="shared" si="56"/>
        <v>23.065517241379311</v>
      </c>
      <c r="I101" s="28">
        <v>0</v>
      </c>
      <c r="J101" s="28">
        <v>10.4</v>
      </c>
      <c r="L101" s="87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Y101" s="91"/>
      <c r="Z101" s="29"/>
      <c r="AA101" s="29"/>
      <c r="AB101" s="24"/>
      <c r="AC101" s="19"/>
      <c r="AD101" s="29"/>
      <c r="AE101" s="24"/>
      <c r="AF101" s="62">
        <f>AF100</f>
        <v>28</v>
      </c>
      <c r="AG101" s="63"/>
      <c r="AH101" s="64">
        <f>$AL101</f>
        <v>7.5</v>
      </c>
      <c r="AI101" s="65"/>
      <c r="AJ101" s="65"/>
      <c r="AK101" s="46"/>
      <c r="AL101" s="66">
        <f>(Simulation!$D$13-(Simulation!$D$13*Simulation!$D$12))/2</f>
        <v>7.5</v>
      </c>
      <c r="AM101" s="47">
        <f t="shared" si="51"/>
        <v>62.125</v>
      </c>
      <c r="AN101" s="48">
        <f t="shared" si="48"/>
        <v>62.125</v>
      </c>
      <c r="AO101" s="47"/>
      <c r="AP101" s="47"/>
      <c r="AQ101" s="47"/>
      <c r="AR101" s="49"/>
      <c r="AS101" s="67">
        <f>AS100</f>
        <v>0</v>
      </c>
      <c r="AT101" s="51"/>
      <c r="AU101" s="68">
        <f>Simulation!$D$13</f>
        <v>30</v>
      </c>
      <c r="AV101" s="53">
        <f>$AU$5</f>
        <v>30</v>
      </c>
      <c r="AW101" s="52">
        <f t="shared" ref="AW101:AW107" si="57">((AW100*60)+AV101)/60</f>
        <v>122.5</v>
      </c>
      <c r="AX101" s="48">
        <f t="shared" si="47"/>
        <v>0</v>
      </c>
      <c r="AY101" s="19"/>
    </row>
    <row r="102" spans="1:51" x14ac:dyDescent="0.2">
      <c r="A102" s="75"/>
      <c r="B102" s="76"/>
      <c r="C102" s="76"/>
      <c r="D102" s="76"/>
      <c r="E102" s="19"/>
      <c r="G102" s="19">
        <f t="shared" si="54"/>
        <v>180</v>
      </c>
      <c r="H102" s="21">
        <f t="shared" si="56"/>
        <v>22.420689655172414</v>
      </c>
      <c r="I102" s="28">
        <v>0</v>
      </c>
      <c r="J102" s="39">
        <v>10.199999999999999</v>
      </c>
      <c r="L102" s="87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Y102" s="91"/>
      <c r="Z102" s="29"/>
      <c r="AA102" s="29"/>
      <c r="AB102" s="24"/>
      <c r="AC102" s="19"/>
      <c r="AD102" s="29"/>
      <c r="AE102" s="24"/>
      <c r="AF102" s="62">
        <f>AF101+AI102</f>
        <v>58</v>
      </c>
      <c r="AG102" s="63"/>
      <c r="AH102" s="46"/>
      <c r="AI102" s="69">
        <f>IF(AJ102&gt;0,IF(Simulation!$C$10="Lithium",VLOOKUP(AJ102+$C$16,Tabella4[],3)-AF101,0),0)</f>
        <v>30</v>
      </c>
      <c r="AJ102" s="69">
        <f>IF(AF101&gt;7,VLOOKUP(AF101,Tabella44[],2),0)</f>
        <v>7</v>
      </c>
      <c r="AK102" s="46"/>
      <c r="AL102" s="70">
        <f>Simulation!$D$13*Simulation!$D$12</f>
        <v>15</v>
      </c>
      <c r="AM102" s="47">
        <f t="shared" si="51"/>
        <v>62.375</v>
      </c>
      <c r="AN102" s="48">
        <f t="shared" si="48"/>
        <v>62.375</v>
      </c>
      <c r="AO102" s="47"/>
      <c r="AP102" s="47"/>
      <c r="AQ102" s="47"/>
      <c r="AR102" s="49">
        <v>50</v>
      </c>
      <c r="AS102" s="60">
        <f>IF(AS101&gt;7,AS101-AT102,0)</f>
        <v>0</v>
      </c>
      <c r="AT102" s="61">
        <f>MROUND($C$10*$C$13/60,2)</f>
        <v>30</v>
      </c>
      <c r="AU102" s="44"/>
      <c r="AV102" s="45">
        <f>$C$13</f>
        <v>120</v>
      </c>
      <c r="AW102" s="52">
        <f t="shared" si="57"/>
        <v>124.5</v>
      </c>
      <c r="AX102" s="48">
        <f t="shared" si="47"/>
        <v>0</v>
      </c>
      <c r="AY102" s="19"/>
    </row>
    <row r="103" spans="1:51" x14ac:dyDescent="0.2">
      <c r="A103" s="75"/>
      <c r="B103" s="76"/>
      <c r="C103" s="76"/>
      <c r="D103" s="76"/>
      <c r="E103" s="19"/>
      <c r="G103" s="19">
        <f t="shared" si="54"/>
        <v>175</v>
      </c>
      <c r="H103" s="21">
        <f t="shared" si="56"/>
        <v>21.775862068965516</v>
      </c>
      <c r="I103" s="28">
        <v>0</v>
      </c>
      <c r="J103" s="82">
        <f>(J104+J102)/2</f>
        <v>9.85</v>
      </c>
      <c r="L103" s="87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Y103" s="91"/>
      <c r="Z103" s="29"/>
      <c r="AA103" s="29"/>
      <c r="AB103" s="24"/>
      <c r="AC103" s="19"/>
      <c r="AD103" s="29"/>
      <c r="AE103" s="24"/>
      <c r="AF103" s="71">
        <f>AF102</f>
        <v>58</v>
      </c>
      <c r="AG103" s="72"/>
      <c r="AH103" s="73"/>
      <c r="AI103" s="74"/>
      <c r="AJ103" s="74"/>
      <c r="AK103" s="64">
        <f>$AL103</f>
        <v>7.5</v>
      </c>
      <c r="AL103" s="66">
        <f>(Simulation!$D$13-(Simulation!$D$13*Simulation!$D$12))/2</f>
        <v>7.5</v>
      </c>
      <c r="AM103" s="47">
        <f t="shared" si="51"/>
        <v>62.5</v>
      </c>
      <c r="AN103" s="48">
        <f t="shared" si="48"/>
        <v>62.5</v>
      </c>
      <c r="AO103" s="47"/>
      <c r="AP103" s="47"/>
      <c r="AQ103" s="47"/>
      <c r="AR103" s="49"/>
      <c r="AS103" s="67">
        <f>AS102</f>
        <v>0</v>
      </c>
      <c r="AT103" s="51"/>
      <c r="AU103" s="68">
        <f>Simulation!$D$13</f>
        <v>30</v>
      </c>
      <c r="AV103" s="53">
        <f>$AU$5</f>
        <v>30</v>
      </c>
      <c r="AW103" s="52">
        <f t="shared" si="57"/>
        <v>125</v>
      </c>
      <c r="AX103" s="48">
        <f t="shared" si="47"/>
        <v>0</v>
      </c>
      <c r="AY103" s="19"/>
    </row>
    <row r="104" spans="1:51" x14ac:dyDescent="0.2">
      <c r="A104" s="75"/>
      <c r="B104" s="76"/>
      <c r="C104" s="76"/>
      <c r="D104" s="76"/>
      <c r="E104" s="19"/>
      <c r="G104" s="19">
        <f t="shared" si="54"/>
        <v>170</v>
      </c>
      <c r="H104" s="21">
        <f t="shared" si="56"/>
        <v>21.131034482758622</v>
      </c>
      <c r="I104" s="28">
        <v>0</v>
      </c>
      <c r="J104" s="28">
        <f>(J102+J106)/2</f>
        <v>9.5</v>
      </c>
      <c r="L104" s="87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Y104" s="91"/>
      <c r="Z104" s="29"/>
      <c r="AA104" s="29"/>
      <c r="AB104" s="24"/>
      <c r="AC104" s="19"/>
      <c r="AD104" s="29"/>
      <c r="AE104" s="24">
        <v>27</v>
      </c>
      <c r="AF104" s="54">
        <f>IF(AF103&gt;7,AF103-AG104,0)</f>
        <v>28</v>
      </c>
      <c r="AG104" s="55">
        <f>MROUND($C$10*$C$13/60,2)</f>
        <v>30</v>
      </c>
      <c r="AH104" s="56"/>
      <c r="AI104" s="57"/>
      <c r="AJ104" s="57"/>
      <c r="AK104" s="58"/>
      <c r="AL104" s="59">
        <f>$C$13</f>
        <v>120</v>
      </c>
      <c r="AM104" s="47">
        <f t="shared" si="51"/>
        <v>64.5</v>
      </c>
      <c r="AN104" s="48">
        <f t="shared" si="48"/>
        <v>64.5</v>
      </c>
      <c r="AO104" s="47"/>
      <c r="AP104" s="47"/>
      <c r="AQ104" s="47"/>
      <c r="AR104" s="49">
        <v>51</v>
      </c>
      <c r="AS104" s="60">
        <f>IF(AS103&gt;7,AS103-AT104,0)</f>
        <v>0</v>
      </c>
      <c r="AT104" s="61">
        <f>MROUND($C$10*$C$13/60,2)</f>
        <v>30</v>
      </c>
      <c r="AU104" s="44"/>
      <c r="AV104" s="45">
        <f>$C$13</f>
        <v>120</v>
      </c>
      <c r="AW104" s="52">
        <f t="shared" si="57"/>
        <v>127</v>
      </c>
      <c r="AX104" s="48">
        <f t="shared" si="47"/>
        <v>0</v>
      </c>
      <c r="AY104" s="19"/>
    </row>
    <row r="105" spans="1:51" x14ac:dyDescent="0.2">
      <c r="A105" s="75"/>
      <c r="B105" s="80"/>
      <c r="C105" s="76"/>
      <c r="D105" s="76"/>
      <c r="E105" s="19"/>
      <c r="G105" s="19">
        <f t="shared" si="54"/>
        <v>165</v>
      </c>
      <c r="H105" s="21">
        <f t="shared" si="56"/>
        <v>20.486206896551725</v>
      </c>
      <c r="I105" s="28">
        <v>0</v>
      </c>
      <c r="J105" s="82">
        <f>(J106+J104)/2</f>
        <v>9.15</v>
      </c>
      <c r="L105" s="87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Y105" s="91"/>
      <c r="Z105" s="29"/>
      <c r="AA105" s="29"/>
      <c r="AB105" s="24"/>
      <c r="AC105" s="19"/>
      <c r="AD105" s="29"/>
      <c r="AE105" s="24"/>
      <c r="AF105" s="62">
        <f>AF104</f>
        <v>28</v>
      </c>
      <c r="AG105" s="63"/>
      <c r="AH105" s="64">
        <f>$AL105</f>
        <v>7.5</v>
      </c>
      <c r="AI105" s="65"/>
      <c r="AJ105" s="65"/>
      <c r="AK105" s="46"/>
      <c r="AL105" s="66">
        <f>(Simulation!$D$13-(Simulation!$D$13*Simulation!$D$12))/2</f>
        <v>7.5</v>
      </c>
      <c r="AM105" s="47">
        <f t="shared" si="51"/>
        <v>64.625</v>
      </c>
      <c r="AN105" s="48">
        <f t="shared" si="48"/>
        <v>64.625</v>
      </c>
      <c r="AO105" s="47"/>
      <c r="AP105" s="47"/>
      <c r="AQ105" s="47"/>
      <c r="AR105" s="49"/>
      <c r="AS105" s="67">
        <f>AS104</f>
        <v>0</v>
      </c>
      <c r="AT105" s="51"/>
      <c r="AU105" s="68">
        <f>Simulation!$D$13</f>
        <v>30</v>
      </c>
      <c r="AV105" s="53">
        <f>$AU$5</f>
        <v>30</v>
      </c>
      <c r="AW105" s="52">
        <f t="shared" si="57"/>
        <v>127.5</v>
      </c>
      <c r="AX105" s="48">
        <f t="shared" si="47"/>
        <v>0</v>
      </c>
      <c r="AY105" s="19"/>
    </row>
    <row r="106" spans="1:51" x14ac:dyDescent="0.2">
      <c r="A106" s="81"/>
      <c r="B106" s="76"/>
      <c r="C106" s="77"/>
      <c r="D106" s="76"/>
      <c r="E106" s="19"/>
      <c r="G106" s="19">
        <f t="shared" si="54"/>
        <v>160</v>
      </c>
      <c r="H106" s="21">
        <f t="shared" si="56"/>
        <v>19.841379310344827</v>
      </c>
      <c r="I106" s="28">
        <v>0</v>
      </c>
      <c r="J106" s="83">
        <v>8.8000000000000007</v>
      </c>
      <c r="L106" s="87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Y106" s="179" t="s">
        <v>47</v>
      </c>
      <c r="Z106" s="180"/>
      <c r="AA106" s="180"/>
      <c r="AB106" s="24"/>
      <c r="AC106" s="19"/>
      <c r="AD106" s="29"/>
      <c r="AE106" s="24"/>
      <c r="AF106" s="62">
        <f>AF105+AI106</f>
        <v>58</v>
      </c>
      <c r="AG106" s="63"/>
      <c r="AH106" s="46"/>
      <c r="AI106" s="69">
        <f>IF(AJ106&gt;0,IF(Simulation!$C$10="Lithium",VLOOKUP(AJ106+$C$16,Tabella4[],3)-AF105,0),0)</f>
        <v>30</v>
      </c>
      <c r="AJ106" s="69">
        <f>IF(AF105&gt;7,VLOOKUP(AF105,Tabella44[],2),0)</f>
        <v>7</v>
      </c>
      <c r="AK106" s="46"/>
      <c r="AL106" s="70">
        <f>Simulation!$D$13*Simulation!$D$12</f>
        <v>15</v>
      </c>
      <c r="AM106" s="47">
        <f t="shared" si="51"/>
        <v>64.875</v>
      </c>
      <c r="AN106" s="48">
        <f t="shared" si="48"/>
        <v>64.875</v>
      </c>
      <c r="AO106" s="47"/>
      <c r="AP106" s="47"/>
      <c r="AQ106" s="47"/>
      <c r="AR106" s="49">
        <v>52</v>
      </c>
      <c r="AS106" s="60">
        <f>IF(AS105&gt;7,AS105-AT106,0)</f>
        <v>0</v>
      </c>
      <c r="AT106" s="61">
        <f>MROUND($C$10*$C$13/60,2)</f>
        <v>30</v>
      </c>
      <c r="AU106" s="44"/>
      <c r="AV106" s="45">
        <f>$C$13</f>
        <v>120</v>
      </c>
      <c r="AW106" s="52">
        <f t="shared" si="57"/>
        <v>129.5</v>
      </c>
      <c r="AX106" s="48">
        <f t="shared" si="47"/>
        <v>0</v>
      </c>
      <c r="AY106" s="19"/>
    </row>
    <row r="107" spans="1:51" ht="15" thickBot="1" x14ac:dyDescent="0.25">
      <c r="A107" s="89"/>
      <c r="B107" s="19"/>
      <c r="C107" s="19"/>
      <c r="D107" s="19"/>
      <c r="E107" s="19"/>
      <c r="G107" s="19">
        <f t="shared" si="54"/>
        <v>155</v>
      </c>
      <c r="H107" s="21">
        <f t="shared" si="56"/>
        <v>19.196551724137933</v>
      </c>
      <c r="I107" s="28">
        <v>0</v>
      </c>
      <c r="J107" s="28">
        <v>8.4</v>
      </c>
      <c r="L107" s="87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Y107" s="181"/>
      <c r="Z107" s="182"/>
      <c r="AA107" s="182"/>
      <c r="AB107" s="92"/>
      <c r="AC107" s="93"/>
      <c r="AD107" s="94"/>
      <c r="AE107" s="92"/>
      <c r="AF107" s="71">
        <f>AF106</f>
        <v>58</v>
      </c>
      <c r="AG107" s="72"/>
      <c r="AH107" s="73"/>
      <c r="AI107" s="74"/>
      <c r="AJ107" s="74"/>
      <c r="AK107" s="64">
        <f>$AL107</f>
        <v>7.5</v>
      </c>
      <c r="AL107" s="66">
        <f>(Simulation!$D$13-(Simulation!$D$13*Simulation!$D$12))/2</f>
        <v>7.5</v>
      </c>
      <c r="AM107" s="47">
        <f t="shared" si="51"/>
        <v>65</v>
      </c>
      <c r="AN107" s="48">
        <f t="shared" si="48"/>
        <v>65</v>
      </c>
      <c r="AO107" s="47"/>
      <c r="AP107" s="47"/>
      <c r="AQ107" s="47"/>
      <c r="AR107" s="49"/>
      <c r="AS107" s="67">
        <f>AS106</f>
        <v>0</v>
      </c>
      <c r="AT107" s="51"/>
      <c r="AU107" s="68">
        <f>Simulation!$D$13</f>
        <v>30</v>
      </c>
      <c r="AV107" s="53">
        <f>$AU$5</f>
        <v>30</v>
      </c>
      <c r="AW107" s="52">
        <f t="shared" si="57"/>
        <v>130</v>
      </c>
      <c r="AX107" s="48">
        <f t="shared" si="47"/>
        <v>0</v>
      </c>
      <c r="AY107" s="19"/>
    </row>
    <row r="108" spans="1:51" x14ac:dyDescent="0.2">
      <c r="G108" s="19">
        <f t="shared" si="54"/>
        <v>150</v>
      </c>
      <c r="H108" s="21">
        <f t="shared" si="56"/>
        <v>18.551724137931036</v>
      </c>
      <c r="I108" s="28">
        <v>0</v>
      </c>
      <c r="J108" s="28">
        <v>8.1</v>
      </c>
      <c r="L108" s="87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AE108" s="95">
        <v>28</v>
      </c>
      <c r="AF108" s="54">
        <f>IF(AF107&gt;7,AF107-AG108,0)</f>
        <v>28</v>
      </c>
      <c r="AG108" s="55">
        <f>MROUND($C$10*$C$13/60,2)</f>
        <v>30</v>
      </c>
      <c r="AH108" s="56"/>
      <c r="AI108" s="57"/>
      <c r="AJ108" s="57"/>
      <c r="AK108" s="58"/>
      <c r="AL108" s="59">
        <f>$C$13</f>
        <v>120</v>
      </c>
      <c r="AM108" s="47">
        <f>((AM107*60)+AL108)/60</f>
        <v>67</v>
      </c>
      <c r="AN108" s="48">
        <f t="shared" ref="AN108:AN137" si="58">IF(AF108&gt;0,1*AM108,0)</f>
        <v>67</v>
      </c>
      <c r="AO108" s="47"/>
      <c r="AP108" s="47"/>
      <c r="AQ108" s="47"/>
      <c r="AR108" s="49">
        <v>53</v>
      </c>
      <c r="AS108" s="60">
        <f>IF(AS107&gt;7,AS107-AT108,0)</f>
        <v>0</v>
      </c>
      <c r="AT108" s="61">
        <f>MROUND($C$10*$C$13/60,2)</f>
        <v>30</v>
      </c>
      <c r="AU108" s="44"/>
      <c r="AV108" s="45">
        <f>$C$13</f>
        <v>120</v>
      </c>
      <c r="AW108" s="52">
        <f t="shared" ref="AW108:AW155" si="59">((AW107*60)+AV108)/60</f>
        <v>132</v>
      </c>
      <c r="AX108" s="48">
        <f t="shared" si="47"/>
        <v>0</v>
      </c>
      <c r="AY108" s="19"/>
    </row>
    <row r="109" spans="1:51" x14ac:dyDescent="0.2">
      <c r="G109" s="19">
        <f t="shared" si="54"/>
        <v>145</v>
      </c>
      <c r="H109" s="21">
        <f t="shared" si="56"/>
        <v>17.906896551724138</v>
      </c>
      <c r="I109" s="28">
        <v>0</v>
      </c>
      <c r="J109" s="83">
        <v>7.8</v>
      </c>
      <c r="L109" s="87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AF109" s="62">
        <f>AF108</f>
        <v>28</v>
      </c>
      <c r="AG109" s="63"/>
      <c r="AH109" s="64">
        <f>$AL109</f>
        <v>7.5</v>
      </c>
      <c r="AI109" s="65"/>
      <c r="AJ109" s="65"/>
      <c r="AK109" s="46"/>
      <c r="AL109" s="66">
        <f>(Simulation!$D$13-(Simulation!$D$13*Simulation!$D$12))/2</f>
        <v>7.5</v>
      </c>
      <c r="AM109" s="47">
        <f t="shared" ref="AM109:AM155" si="60">((AM108*60)+AL109)/60</f>
        <v>67.125</v>
      </c>
      <c r="AN109" s="48">
        <f t="shared" si="58"/>
        <v>67.125</v>
      </c>
      <c r="AO109" s="47"/>
      <c r="AP109" s="47"/>
      <c r="AQ109" s="47"/>
      <c r="AR109" s="49"/>
      <c r="AS109" s="67">
        <f>AS108</f>
        <v>0</v>
      </c>
      <c r="AT109" s="51"/>
      <c r="AU109" s="68">
        <f>Simulation!$D$13</f>
        <v>30</v>
      </c>
      <c r="AV109" s="53">
        <f>$AU$5</f>
        <v>30</v>
      </c>
      <c r="AW109" s="52">
        <f t="shared" si="59"/>
        <v>132.5</v>
      </c>
      <c r="AX109" s="48">
        <f t="shared" si="47"/>
        <v>0</v>
      </c>
      <c r="AY109" s="19"/>
    </row>
    <row r="110" spans="1:51" ht="15" thickBot="1" x14ac:dyDescent="0.25">
      <c r="G110" s="19">
        <f t="shared" si="54"/>
        <v>140</v>
      </c>
      <c r="H110" s="21">
        <f t="shared" si="56"/>
        <v>17.262068965517241</v>
      </c>
      <c r="I110" s="28">
        <v>0</v>
      </c>
      <c r="J110" s="82">
        <f>(J111+J109)/2</f>
        <v>7.6999999999999993</v>
      </c>
      <c r="L110" s="87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AA110" s="96"/>
      <c r="AB110" s="97"/>
      <c r="AC110" s="98"/>
      <c r="AD110" s="98"/>
      <c r="AE110" s="97"/>
      <c r="AF110" s="62">
        <f>AF109+AI110</f>
        <v>58</v>
      </c>
      <c r="AG110" s="63"/>
      <c r="AH110" s="46"/>
      <c r="AI110" s="69">
        <f>IF(AJ110&gt;0,IF(Simulation!$C$10="Lithium",VLOOKUP(AJ110+$C$16,Tabella4[],3)-AF109,0),0)</f>
        <v>30</v>
      </c>
      <c r="AJ110" s="69">
        <f>IF(AF109&gt;7,VLOOKUP(AF109,Tabella44[],2),0)</f>
        <v>7</v>
      </c>
      <c r="AK110" s="46"/>
      <c r="AL110" s="70">
        <f>Simulation!$D$13*Simulation!$D$12</f>
        <v>15</v>
      </c>
      <c r="AM110" s="47">
        <f t="shared" si="60"/>
        <v>67.375</v>
      </c>
      <c r="AN110" s="48">
        <f t="shared" si="58"/>
        <v>67.375</v>
      </c>
      <c r="AO110" s="47"/>
      <c r="AP110" s="47"/>
      <c r="AQ110" s="47"/>
      <c r="AR110" s="49">
        <v>54</v>
      </c>
      <c r="AS110" s="60">
        <f>IF(AS109&gt;7,AS109-AT110,0)</f>
        <v>0</v>
      </c>
      <c r="AT110" s="61">
        <f>MROUND($C$10*$C$13/60,2)</f>
        <v>30</v>
      </c>
      <c r="AU110" s="44"/>
      <c r="AV110" s="45">
        <f>$C$13</f>
        <v>120</v>
      </c>
      <c r="AW110" s="52">
        <f t="shared" si="59"/>
        <v>134.5</v>
      </c>
      <c r="AX110" s="48">
        <f t="shared" si="47"/>
        <v>0</v>
      </c>
      <c r="AY110" s="19"/>
    </row>
    <row r="111" spans="1:51" ht="15" x14ac:dyDescent="0.25">
      <c r="G111" s="19">
        <f t="shared" si="54"/>
        <v>135</v>
      </c>
      <c r="H111" s="21">
        <f t="shared" si="56"/>
        <v>16.617241379310347</v>
      </c>
      <c r="I111" s="28">
        <v>0</v>
      </c>
      <c r="J111" s="83">
        <v>7.6</v>
      </c>
      <c r="L111" s="87"/>
      <c r="M111" s="82"/>
      <c r="N111" s="82"/>
      <c r="O111" s="82"/>
      <c r="P111" s="82"/>
      <c r="Q111" s="82"/>
      <c r="R111" s="82"/>
      <c r="S111" s="82"/>
      <c r="T111" s="82"/>
      <c r="U111" s="82"/>
      <c r="Y111" s="174" t="s">
        <v>51</v>
      </c>
      <c r="Z111" s="175"/>
      <c r="AA111" s="99"/>
      <c r="AB111" s="30"/>
      <c r="AC111" s="100"/>
      <c r="AD111" s="30"/>
      <c r="AE111" s="63"/>
      <c r="AF111" s="71">
        <f>AF110</f>
        <v>58</v>
      </c>
      <c r="AG111" s="72"/>
      <c r="AH111" s="73"/>
      <c r="AI111" s="74"/>
      <c r="AJ111" s="74"/>
      <c r="AK111" s="64">
        <f>$AL111</f>
        <v>7.5</v>
      </c>
      <c r="AL111" s="66">
        <f>(Simulation!$D$13-(Simulation!$D$13*Simulation!$D$12))/2</f>
        <v>7.5</v>
      </c>
      <c r="AM111" s="47">
        <f t="shared" si="60"/>
        <v>67.5</v>
      </c>
      <c r="AN111" s="48">
        <f t="shared" si="58"/>
        <v>67.5</v>
      </c>
      <c r="AO111" s="47"/>
      <c r="AP111" s="47"/>
      <c r="AQ111" s="47"/>
      <c r="AR111" s="49"/>
      <c r="AS111" s="67">
        <f>AS110</f>
        <v>0</v>
      </c>
      <c r="AT111" s="51"/>
      <c r="AU111" s="68">
        <f>Simulation!$D$13</f>
        <v>30</v>
      </c>
      <c r="AV111" s="53">
        <f>$AU$5</f>
        <v>30</v>
      </c>
      <c r="AW111" s="52">
        <f t="shared" si="59"/>
        <v>135</v>
      </c>
      <c r="AX111" s="48">
        <f t="shared" si="47"/>
        <v>0</v>
      </c>
      <c r="AY111" s="19"/>
    </row>
    <row r="112" spans="1:51" x14ac:dyDescent="0.2">
      <c r="G112" s="19">
        <f t="shared" si="54"/>
        <v>130</v>
      </c>
      <c r="H112" s="21">
        <f t="shared" si="56"/>
        <v>15.972413793103449</v>
      </c>
      <c r="I112" s="28">
        <v>0</v>
      </c>
      <c r="J112" s="82">
        <f>(J113+J111)/2</f>
        <v>7.3999999999999995</v>
      </c>
      <c r="L112" s="87"/>
      <c r="M112" s="82"/>
      <c r="N112" s="82"/>
      <c r="O112" s="82"/>
      <c r="P112" s="82"/>
      <c r="Q112" s="82"/>
      <c r="R112" s="82"/>
      <c r="S112" s="82"/>
      <c r="T112" s="82"/>
      <c r="U112" s="82"/>
      <c r="V112" s="128"/>
      <c r="W112" s="128"/>
      <c r="Y112" s="101">
        <f>IF(Simulation!$C$10="litio+",30,IF(Simulation!$C$10="Lithium",30,IF(Simulation!$C$10="piombo",0,)))</f>
        <v>30</v>
      </c>
      <c r="Z112" s="102">
        <v>0</v>
      </c>
      <c r="AA112" s="63"/>
      <c r="AB112" s="46"/>
      <c r="AC112" s="65"/>
      <c r="AD112" s="47"/>
      <c r="AE112" s="63">
        <v>29</v>
      </c>
      <c r="AF112" s="54">
        <f>IF(AF111&gt;7,AF111-AG112,0)</f>
        <v>28</v>
      </c>
      <c r="AG112" s="55">
        <f>MROUND($C$10*$C$13/60,2)</f>
        <v>30</v>
      </c>
      <c r="AH112" s="56"/>
      <c r="AI112" s="57"/>
      <c r="AJ112" s="57"/>
      <c r="AK112" s="58"/>
      <c r="AL112" s="59">
        <f>$C$13</f>
        <v>120</v>
      </c>
      <c r="AM112" s="47">
        <f t="shared" si="60"/>
        <v>69.5</v>
      </c>
      <c r="AN112" s="48">
        <f t="shared" si="58"/>
        <v>69.5</v>
      </c>
      <c r="AO112" s="47"/>
      <c r="AP112" s="47"/>
      <c r="AQ112" s="47"/>
      <c r="AR112" s="49">
        <v>55</v>
      </c>
      <c r="AS112" s="60">
        <f>IF(AS111&gt;7,AS111-AT112,0)</f>
        <v>0</v>
      </c>
      <c r="AT112" s="61">
        <f>MROUND($C$10*$C$13/60,2)</f>
        <v>30</v>
      </c>
      <c r="AU112" s="44"/>
      <c r="AV112" s="45">
        <f>$C$13</f>
        <v>120</v>
      </c>
      <c r="AW112" s="52">
        <f t="shared" si="59"/>
        <v>137</v>
      </c>
      <c r="AX112" s="48">
        <f t="shared" si="47"/>
        <v>0</v>
      </c>
      <c r="AY112" s="19"/>
    </row>
    <row r="113" spans="7:51" x14ac:dyDescent="0.2">
      <c r="G113" s="19">
        <f t="shared" si="54"/>
        <v>125</v>
      </c>
      <c r="H113" s="21">
        <f t="shared" si="56"/>
        <v>15.327586206896552</v>
      </c>
      <c r="I113" s="28">
        <v>0</v>
      </c>
      <c r="J113" s="28">
        <f>(J111+J115)/2</f>
        <v>7.1999999999999993</v>
      </c>
      <c r="L113" s="87"/>
      <c r="M113" s="82"/>
      <c r="N113" s="82"/>
      <c r="O113" s="82"/>
      <c r="P113" s="82"/>
      <c r="Q113" s="82"/>
      <c r="R113" s="82"/>
      <c r="S113" s="82"/>
      <c r="T113" s="82"/>
      <c r="U113" s="82"/>
      <c r="W113" s="127"/>
      <c r="Y113" s="101">
        <f>IF(Simulation!$C$10="litio+",30,IF(Simulation!$C$10="Lithium",30,IF(Simulation!$C$10="piombo",0,)))</f>
        <v>30</v>
      </c>
      <c r="Z113" s="103">
        <v>2</v>
      </c>
      <c r="AA113" s="63"/>
      <c r="AB113" s="46"/>
      <c r="AC113" s="65"/>
      <c r="AD113" s="47"/>
      <c r="AE113" s="63"/>
      <c r="AF113" s="62">
        <f>AF112</f>
        <v>28</v>
      </c>
      <c r="AG113" s="63"/>
      <c r="AH113" s="64">
        <f>$AL113</f>
        <v>7.5</v>
      </c>
      <c r="AI113" s="65"/>
      <c r="AJ113" s="65"/>
      <c r="AK113" s="46"/>
      <c r="AL113" s="66">
        <f>(Simulation!$D$13-(Simulation!$D$13*Simulation!$D$12))/2</f>
        <v>7.5</v>
      </c>
      <c r="AM113" s="47">
        <f t="shared" si="60"/>
        <v>69.625</v>
      </c>
      <c r="AN113" s="48">
        <f t="shared" si="58"/>
        <v>69.625</v>
      </c>
      <c r="AO113" s="47"/>
      <c r="AP113" s="47"/>
      <c r="AQ113" s="47"/>
      <c r="AR113" s="49"/>
      <c r="AS113" s="67">
        <f>AS112</f>
        <v>0</v>
      </c>
      <c r="AT113" s="51"/>
      <c r="AU113" s="68">
        <f>Simulation!$D$13</f>
        <v>30</v>
      </c>
      <c r="AV113" s="53">
        <f>$AU$5</f>
        <v>30</v>
      </c>
      <c r="AW113" s="52">
        <f t="shared" si="59"/>
        <v>137.5</v>
      </c>
      <c r="AX113" s="48">
        <f t="shared" si="47"/>
        <v>0</v>
      </c>
      <c r="AY113" s="19"/>
    </row>
    <row r="114" spans="7:51" x14ac:dyDescent="0.2">
      <c r="G114" s="19">
        <f t="shared" si="54"/>
        <v>120</v>
      </c>
      <c r="H114" s="21">
        <f t="shared" si="56"/>
        <v>14.682758620689656</v>
      </c>
      <c r="I114" s="28">
        <v>0</v>
      </c>
      <c r="J114" s="82">
        <f>(J115+J113)/2</f>
        <v>7</v>
      </c>
      <c r="L114" s="87"/>
      <c r="M114" s="82"/>
      <c r="N114" s="82"/>
      <c r="O114" s="82"/>
      <c r="P114" s="82"/>
      <c r="Q114" s="82"/>
      <c r="R114" s="82"/>
      <c r="S114" s="82"/>
      <c r="T114" s="82"/>
      <c r="U114" s="82"/>
      <c r="W114" s="128"/>
      <c r="Y114" s="101">
        <f>IF(Simulation!$C$10="litio+",30,IF(Simulation!$C$10="Lithium",30,IF(Simulation!$C$10="piombo",0,)))</f>
        <v>30</v>
      </c>
      <c r="Z114" s="103">
        <f t="shared" ref="Z114:Z136" si="61">Z113+2</f>
        <v>4</v>
      </c>
      <c r="AA114" s="63"/>
      <c r="AB114" s="46"/>
      <c r="AC114" s="46"/>
      <c r="AD114" s="47"/>
      <c r="AE114" s="63"/>
      <c r="AF114" s="62">
        <f>AF113+AI114</f>
        <v>58</v>
      </c>
      <c r="AG114" s="63"/>
      <c r="AH114" s="46"/>
      <c r="AI114" s="69">
        <f>IF(AJ114&gt;0,IF(Simulation!$C$10="Lithium",VLOOKUP(AJ114+$C$16,Tabella4[],3)-AF113,0),0)</f>
        <v>30</v>
      </c>
      <c r="AJ114" s="69">
        <f>IF(AF113&gt;7,VLOOKUP(AF113,Tabella44[],2),0)</f>
        <v>7</v>
      </c>
      <c r="AK114" s="46"/>
      <c r="AL114" s="70">
        <f>Simulation!$D$13*Simulation!$D$12</f>
        <v>15</v>
      </c>
      <c r="AM114" s="47">
        <f t="shared" si="60"/>
        <v>69.875</v>
      </c>
      <c r="AN114" s="48">
        <f t="shared" si="58"/>
        <v>69.875</v>
      </c>
      <c r="AO114" s="47"/>
      <c r="AP114" s="47"/>
      <c r="AQ114" s="47"/>
      <c r="AR114" s="49">
        <v>56</v>
      </c>
      <c r="AS114" s="60">
        <f>IF(AS113&gt;7,AS113-AT114,0)</f>
        <v>0</v>
      </c>
      <c r="AT114" s="61">
        <f>MROUND($C$10*$C$13/60,2)</f>
        <v>30</v>
      </c>
      <c r="AU114" s="44"/>
      <c r="AV114" s="45">
        <f>$C$13</f>
        <v>120</v>
      </c>
      <c r="AW114" s="52">
        <f t="shared" si="59"/>
        <v>139.5</v>
      </c>
      <c r="AX114" s="48">
        <f t="shared" si="47"/>
        <v>0</v>
      </c>
      <c r="AY114" s="19"/>
    </row>
    <row r="115" spans="7:51" x14ac:dyDescent="0.2">
      <c r="G115" s="19">
        <f t="shared" si="54"/>
        <v>115</v>
      </c>
      <c r="H115" s="21">
        <f t="shared" si="56"/>
        <v>14.037931034482758</v>
      </c>
      <c r="I115" s="28">
        <v>0</v>
      </c>
      <c r="J115" s="84">
        <v>6.8</v>
      </c>
      <c r="L115" s="87"/>
      <c r="M115" s="82"/>
      <c r="N115" s="82"/>
      <c r="O115" s="82"/>
      <c r="P115" s="82"/>
      <c r="Q115" s="82"/>
      <c r="R115" s="82"/>
      <c r="S115" s="82"/>
      <c r="T115" s="82"/>
      <c r="U115" s="82"/>
      <c r="W115" s="127"/>
      <c r="Y115" s="101">
        <f>IF(Simulation!$C$10="litio+",30,IF(Simulation!$C$10="Lithium",30,IF(Simulation!$C$10="piombo",0,)))</f>
        <v>30</v>
      </c>
      <c r="Z115" s="103">
        <f t="shared" si="61"/>
        <v>6</v>
      </c>
      <c r="AA115" s="63"/>
      <c r="AB115" s="46"/>
      <c r="AC115" s="65"/>
      <c r="AD115" s="47"/>
      <c r="AE115" s="98"/>
      <c r="AF115" s="71">
        <f>AF114</f>
        <v>58</v>
      </c>
      <c r="AG115" s="72"/>
      <c r="AH115" s="73"/>
      <c r="AI115" s="74"/>
      <c r="AJ115" s="74"/>
      <c r="AK115" s="64">
        <f>$AL115</f>
        <v>7.5</v>
      </c>
      <c r="AL115" s="66">
        <f>(Simulation!$D$13-(Simulation!$D$13*Simulation!$D$12))/2</f>
        <v>7.5</v>
      </c>
      <c r="AM115" s="47">
        <f t="shared" si="60"/>
        <v>70</v>
      </c>
      <c r="AN115" s="48">
        <f t="shared" si="58"/>
        <v>70</v>
      </c>
      <c r="AO115" s="47"/>
      <c r="AP115" s="47"/>
      <c r="AQ115" s="47"/>
      <c r="AR115" s="49"/>
      <c r="AS115" s="67">
        <f>AS114</f>
        <v>0</v>
      </c>
      <c r="AT115" s="51"/>
      <c r="AU115" s="68">
        <f>Simulation!$D$13</f>
        <v>30</v>
      </c>
      <c r="AV115" s="53">
        <f>$AU$5</f>
        <v>30</v>
      </c>
      <c r="AW115" s="52">
        <f t="shared" si="59"/>
        <v>140</v>
      </c>
      <c r="AX115" s="48">
        <f t="shared" si="47"/>
        <v>0</v>
      </c>
      <c r="AY115" s="19"/>
    </row>
    <row r="116" spans="7:51" x14ac:dyDescent="0.2">
      <c r="G116" s="19">
        <f t="shared" si="54"/>
        <v>110</v>
      </c>
      <c r="H116" s="21">
        <f t="shared" si="56"/>
        <v>13.393103448275863</v>
      </c>
      <c r="I116" s="28">
        <v>0</v>
      </c>
      <c r="J116" s="82">
        <f>(J117+J115)/2</f>
        <v>6.5250000000000004</v>
      </c>
      <c r="L116" s="87"/>
      <c r="M116" s="82"/>
      <c r="N116" s="82"/>
      <c r="O116" s="82"/>
      <c r="P116" s="82"/>
      <c r="Q116" s="82"/>
      <c r="R116" s="82"/>
      <c r="S116" s="82"/>
      <c r="T116" s="82"/>
      <c r="U116" s="82"/>
      <c r="W116" s="128"/>
      <c r="Y116" s="101">
        <f>IF(Simulation!$C$10="litio+",30,IF(Simulation!$C$10="Lithium",30,IF(Simulation!$C$10="piombo",0,)))</f>
        <v>30</v>
      </c>
      <c r="Z116" s="103">
        <f t="shared" si="61"/>
        <v>8</v>
      </c>
      <c r="AA116" s="63"/>
      <c r="AB116" s="46"/>
      <c r="AC116" s="46"/>
      <c r="AD116" s="47"/>
      <c r="AE116" s="98">
        <v>30</v>
      </c>
      <c r="AF116" s="54">
        <f>IF(AF115&gt;7,AF115-AG116,0)</f>
        <v>28</v>
      </c>
      <c r="AG116" s="55">
        <f>MROUND($C$10*$C$13/60,2)</f>
        <v>30</v>
      </c>
      <c r="AH116" s="56"/>
      <c r="AI116" s="57"/>
      <c r="AJ116" s="57"/>
      <c r="AK116" s="58"/>
      <c r="AL116" s="59">
        <f>$C$13</f>
        <v>120</v>
      </c>
      <c r="AM116" s="47">
        <f t="shared" si="60"/>
        <v>72</v>
      </c>
      <c r="AN116" s="48">
        <f t="shared" si="58"/>
        <v>72</v>
      </c>
      <c r="AO116" s="47"/>
      <c r="AP116" s="47"/>
      <c r="AQ116" s="47"/>
      <c r="AR116" s="49">
        <v>57</v>
      </c>
      <c r="AS116" s="60">
        <f>IF(AS115&gt;7,AS115-AT116,0)</f>
        <v>0</v>
      </c>
      <c r="AT116" s="61">
        <f>MROUND($C$10*$C$13/60,2)</f>
        <v>30</v>
      </c>
      <c r="AU116" s="44"/>
      <c r="AV116" s="45">
        <f>$C$13</f>
        <v>120</v>
      </c>
      <c r="AW116" s="52">
        <f t="shared" si="59"/>
        <v>142</v>
      </c>
      <c r="AX116" s="48">
        <f t="shared" si="47"/>
        <v>0</v>
      </c>
      <c r="AY116" s="19"/>
    </row>
    <row r="117" spans="7:51" x14ac:dyDescent="0.2">
      <c r="G117" s="19">
        <f t="shared" si="54"/>
        <v>105</v>
      </c>
      <c r="H117" s="21">
        <f t="shared" si="56"/>
        <v>12.748275862068967</v>
      </c>
      <c r="I117" s="28">
        <v>0</v>
      </c>
      <c r="J117" s="28">
        <f>(J115+J119)/2</f>
        <v>6.25</v>
      </c>
      <c r="L117" s="87"/>
      <c r="M117" s="82"/>
      <c r="N117" s="82"/>
      <c r="O117" s="82"/>
      <c r="P117" s="82"/>
      <c r="Q117" s="82"/>
      <c r="R117" s="82"/>
      <c r="S117" s="82"/>
      <c r="T117" s="82"/>
      <c r="U117" s="82"/>
      <c r="W117" s="127"/>
      <c r="Y117" s="101">
        <f>IF(Simulation!$C$10="litio+",30,IF(Simulation!$C$10="Lithium",30,IF(Simulation!$C$10="piombo",0,)))</f>
        <v>30</v>
      </c>
      <c r="Z117" s="103">
        <f t="shared" si="61"/>
        <v>10</v>
      </c>
      <c r="AA117" s="63"/>
      <c r="AB117" s="46"/>
      <c r="AC117" s="65"/>
      <c r="AD117" s="47"/>
      <c r="AE117" s="98"/>
      <c r="AF117" s="62">
        <f>AF116</f>
        <v>28</v>
      </c>
      <c r="AG117" s="63"/>
      <c r="AH117" s="64">
        <f>$AL117</f>
        <v>7.5</v>
      </c>
      <c r="AI117" s="65"/>
      <c r="AJ117" s="65"/>
      <c r="AK117" s="46"/>
      <c r="AL117" s="66">
        <f>(Simulation!$D$13-(Simulation!$D$13*Simulation!$D$12))/2</f>
        <v>7.5</v>
      </c>
      <c r="AM117" s="47">
        <f t="shared" si="60"/>
        <v>72.125</v>
      </c>
      <c r="AN117" s="48">
        <f t="shared" si="58"/>
        <v>72.125</v>
      </c>
      <c r="AO117" s="47"/>
      <c r="AP117" s="47"/>
      <c r="AQ117" s="47"/>
      <c r="AR117" s="49"/>
      <c r="AS117" s="67">
        <f>AS116</f>
        <v>0</v>
      </c>
      <c r="AT117" s="51"/>
      <c r="AU117" s="68">
        <f>Simulation!$D$13</f>
        <v>30</v>
      </c>
      <c r="AV117" s="53">
        <f>$AU$5</f>
        <v>30</v>
      </c>
      <c r="AW117" s="52">
        <f t="shared" si="59"/>
        <v>142.5</v>
      </c>
      <c r="AX117" s="48">
        <f t="shared" si="47"/>
        <v>0</v>
      </c>
      <c r="AY117" s="19"/>
    </row>
    <row r="118" spans="7:51" x14ac:dyDescent="0.2">
      <c r="G118" s="38">
        <f t="shared" si="54"/>
        <v>100</v>
      </c>
      <c r="H118" s="21">
        <f t="shared" si="56"/>
        <v>12.103448275862069</v>
      </c>
      <c r="I118" s="28">
        <v>0</v>
      </c>
      <c r="J118" s="82">
        <f>(J119+J117)/2</f>
        <v>5.9749999999999996</v>
      </c>
      <c r="L118" s="87"/>
      <c r="M118" s="82"/>
      <c r="N118" s="82"/>
      <c r="O118" s="82"/>
      <c r="P118" s="82"/>
      <c r="Q118" s="82"/>
      <c r="R118" s="82"/>
      <c r="S118" s="82"/>
      <c r="T118" s="82"/>
      <c r="U118" s="82"/>
      <c r="V118" s="127"/>
      <c r="W118" s="128"/>
      <c r="Y118" s="101">
        <f>IF(Simulation!$C$10="litio+",30,IF(Simulation!$C$10="Lithium",30,IF(Simulation!$C$10="piombo",0,)))</f>
        <v>30</v>
      </c>
      <c r="Z118" s="103">
        <f t="shared" si="61"/>
        <v>12</v>
      </c>
      <c r="AA118" s="63"/>
      <c r="AB118" s="46"/>
      <c r="AC118" s="46"/>
      <c r="AD118" s="47"/>
      <c r="AE118" s="98"/>
      <c r="AF118" s="62">
        <f>AF117+AI118</f>
        <v>58</v>
      </c>
      <c r="AG118" s="63"/>
      <c r="AH118" s="46"/>
      <c r="AI118" s="69">
        <f>IF(AJ118&gt;0,IF(Simulation!$C$10="Lithium",VLOOKUP(AJ118+$C$16,Tabella4[],3)-AF117,0),0)</f>
        <v>30</v>
      </c>
      <c r="AJ118" s="69">
        <f>IF(AF117&gt;7,VLOOKUP(AF117,Tabella44[],2),0)</f>
        <v>7</v>
      </c>
      <c r="AK118" s="46"/>
      <c r="AL118" s="70">
        <f>Simulation!$D$13*Simulation!$D$12</f>
        <v>15</v>
      </c>
      <c r="AM118" s="47">
        <f t="shared" si="60"/>
        <v>72.375</v>
      </c>
      <c r="AN118" s="48">
        <f t="shared" si="58"/>
        <v>72.375</v>
      </c>
      <c r="AO118" s="47"/>
      <c r="AP118" s="47"/>
      <c r="AQ118" s="47"/>
      <c r="AR118" s="49">
        <v>58</v>
      </c>
      <c r="AS118" s="60">
        <f>IF(AS117&gt;7,AS117-AT118,0)</f>
        <v>0</v>
      </c>
      <c r="AT118" s="61">
        <f>MROUND($C$10*$C$13/60,2)</f>
        <v>30</v>
      </c>
      <c r="AU118" s="44"/>
      <c r="AV118" s="45">
        <f>$C$13</f>
        <v>120</v>
      </c>
      <c r="AW118" s="52">
        <f t="shared" si="59"/>
        <v>144.5</v>
      </c>
      <c r="AX118" s="48">
        <f t="shared" si="47"/>
        <v>0</v>
      </c>
      <c r="AY118" s="19"/>
    </row>
    <row r="119" spans="7:51" x14ac:dyDescent="0.2">
      <c r="G119" s="19">
        <f t="shared" si="54"/>
        <v>95</v>
      </c>
      <c r="H119" s="21">
        <f t="shared" si="56"/>
        <v>11.458620689655174</v>
      </c>
      <c r="I119" s="28">
        <v>0</v>
      </c>
      <c r="J119" s="84">
        <v>5.7</v>
      </c>
      <c r="L119" s="87"/>
      <c r="M119" s="82"/>
      <c r="N119" s="82"/>
      <c r="O119" s="82"/>
      <c r="P119" s="82"/>
      <c r="Q119" s="82"/>
      <c r="R119" s="82"/>
      <c r="S119" s="82"/>
      <c r="T119" s="82"/>
      <c r="U119" s="82"/>
      <c r="V119" s="128"/>
      <c r="W119" s="127"/>
      <c r="Y119" s="101">
        <f>IF(Simulation!$C$10="litio+",30,IF(Simulation!$C$10="Lithium",30,IF(Simulation!$C$10="piombo",0,)))</f>
        <v>30</v>
      </c>
      <c r="Z119" s="103">
        <f t="shared" si="61"/>
        <v>14</v>
      </c>
      <c r="AA119" s="63"/>
      <c r="AB119" s="46"/>
      <c r="AC119" s="65"/>
      <c r="AD119" s="47"/>
      <c r="AE119" s="98"/>
      <c r="AF119" s="71">
        <f>AF118</f>
        <v>58</v>
      </c>
      <c r="AG119" s="72"/>
      <c r="AH119" s="73"/>
      <c r="AI119" s="74"/>
      <c r="AJ119" s="74"/>
      <c r="AK119" s="64">
        <f>$AL119</f>
        <v>7.5</v>
      </c>
      <c r="AL119" s="66">
        <f>(Simulation!$D$13-(Simulation!$D$13*Simulation!$D$12))/2</f>
        <v>7.5</v>
      </c>
      <c r="AM119" s="47">
        <f t="shared" si="60"/>
        <v>72.5</v>
      </c>
      <c r="AN119" s="48">
        <f t="shared" si="58"/>
        <v>72.5</v>
      </c>
      <c r="AO119" s="47"/>
      <c r="AP119" s="47"/>
      <c r="AQ119" s="47"/>
      <c r="AR119" s="49"/>
      <c r="AS119" s="67">
        <f>AS118</f>
        <v>0</v>
      </c>
      <c r="AT119" s="51"/>
      <c r="AU119" s="68">
        <f>Simulation!$D$13</f>
        <v>30</v>
      </c>
      <c r="AV119" s="53">
        <f>$AU$5</f>
        <v>30</v>
      </c>
      <c r="AW119" s="52">
        <f t="shared" si="59"/>
        <v>145</v>
      </c>
      <c r="AX119" s="48">
        <f t="shared" si="47"/>
        <v>0</v>
      </c>
      <c r="AY119" s="19"/>
    </row>
    <row r="120" spans="7:51" x14ac:dyDescent="0.2">
      <c r="G120" s="87">
        <f t="shared" si="54"/>
        <v>90</v>
      </c>
      <c r="H120" s="21">
        <f t="shared" si="56"/>
        <v>10.813793103448276</v>
      </c>
      <c r="I120" s="28">
        <v>0</v>
      </c>
      <c r="J120" s="82">
        <v>5.4</v>
      </c>
      <c r="K120" s="86"/>
      <c r="L120" s="87"/>
      <c r="M120" s="82"/>
      <c r="N120" s="82"/>
      <c r="O120" s="82"/>
      <c r="P120" s="82"/>
      <c r="Q120" s="82"/>
      <c r="R120" s="82"/>
      <c r="S120" s="82"/>
      <c r="T120" s="82"/>
      <c r="U120" s="82"/>
      <c r="V120" s="127"/>
      <c r="W120" s="128"/>
      <c r="Y120" s="101">
        <f>IF(Simulation!$C$10="litio+",30,IF(Simulation!$C$10="Lithium",30,IF(Simulation!$C$10="piombo",0,)))</f>
        <v>30</v>
      </c>
      <c r="Z120" s="103">
        <f t="shared" si="61"/>
        <v>16</v>
      </c>
      <c r="AA120" s="63"/>
      <c r="AB120" s="46"/>
      <c r="AC120" s="46"/>
      <c r="AD120" s="47"/>
      <c r="AE120" s="98">
        <v>31</v>
      </c>
      <c r="AF120" s="54">
        <f>IF(AF119&gt;7,AF119-AG120,0)</f>
        <v>28</v>
      </c>
      <c r="AG120" s="55">
        <f>MROUND($C$10*$C$13/60,2)</f>
        <v>30</v>
      </c>
      <c r="AH120" s="56"/>
      <c r="AI120" s="57"/>
      <c r="AJ120" s="57"/>
      <c r="AK120" s="58"/>
      <c r="AL120" s="59">
        <f>$C$13</f>
        <v>120</v>
      </c>
      <c r="AM120" s="47">
        <f t="shared" si="60"/>
        <v>74.5</v>
      </c>
      <c r="AN120" s="48">
        <f t="shared" si="58"/>
        <v>74.5</v>
      </c>
      <c r="AO120" s="47"/>
      <c r="AP120" s="47"/>
      <c r="AQ120" s="47"/>
      <c r="AR120" s="49">
        <v>59</v>
      </c>
      <c r="AS120" s="60">
        <f>IF(AS119&gt;7,AS119-AT120,0)</f>
        <v>0</v>
      </c>
      <c r="AT120" s="61">
        <f>MROUND($C$10*$C$13/60,2)</f>
        <v>30</v>
      </c>
      <c r="AU120" s="44"/>
      <c r="AV120" s="45">
        <f>$C$13</f>
        <v>120</v>
      </c>
      <c r="AW120" s="52">
        <f t="shared" si="59"/>
        <v>147</v>
      </c>
      <c r="AX120" s="48">
        <f t="shared" si="47"/>
        <v>0</v>
      </c>
      <c r="AY120" s="19"/>
    </row>
    <row r="121" spans="7:51" x14ac:dyDescent="0.2">
      <c r="G121" s="19">
        <f t="shared" si="54"/>
        <v>85</v>
      </c>
      <c r="H121" s="21">
        <f t="shared" si="56"/>
        <v>10.16896551724138</v>
      </c>
      <c r="I121" s="28">
        <v>0</v>
      </c>
      <c r="J121" s="82">
        <v>5.2</v>
      </c>
      <c r="L121" s="87"/>
      <c r="M121" s="82"/>
      <c r="N121" s="82"/>
      <c r="O121" s="82"/>
      <c r="P121" s="82"/>
      <c r="Q121" s="82"/>
      <c r="R121" s="82"/>
      <c r="S121" s="82"/>
      <c r="T121" s="82"/>
      <c r="U121" s="82"/>
      <c r="V121" s="128"/>
      <c r="W121" s="127"/>
      <c r="Y121" s="101">
        <f>IF(Simulation!$C$10="litio+",30,IF(Simulation!$C$10="Lithium",30,IF(Simulation!$C$10="piombo",0,)))</f>
        <v>30</v>
      </c>
      <c r="Z121" s="103">
        <f t="shared" si="61"/>
        <v>18</v>
      </c>
      <c r="AA121" s="63"/>
      <c r="AB121" s="46"/>
      <c r="AC121" s="65"/>
      <c r="AD121" s="47"/>
      <c r="AE121" s="98"/>
      <c r="AF121" s="62">
        <f>AF120</f>
        <v>28</v>
      </c>
      <c r="AG121" s="63"/>
      <c r="AH121" s="64">
        <f>$AL121</f>
        <v>7.5</v>
      </c>
      <c r="AI121" s="65"/>
      <c r="AJ121" s="65"/>
      <c r="AK121" s="46"/>
      <c r="AL121" s="66">
        <f>(Simulation!$D$13-(Simulation!$D$13*Simulation!$D$12))/2</f>
        <v>7.5</v>
      </c>
      <c r="AM121" s="47">
        <f t="shared" si="60"/>
        <v>74.625</v>
      </c>
      <c r="AN121" s="48">
        <f t="shared" si="58"/>
        <v>74.625</v>
      </c>
      <c r="AO121" s="47"/>
      <c r="AP121" s="47"/>
      <c r="AQ121" s="47"/>
      <c r="AR121" s="49"/>
      <c r="AS121" s="67">
        <f>AS120</f>
        <v>0</v>
      </c>
      <c r="AT121" s="51"/>
      <c r="AU121" s="68">
        <f>Simulation!$D$13</f>
        <v>30</v>
      </c>
      <c r="AV121" s="53">
        <f>$AU$5</f>
        <v>30</v>
      </c>
      <c r="AW121" s="52">
        <f t="shared" si="59"/>
        <v>147.5</v>
      </c>
      <c r="AX121" s="48">
        <f t="shared" si="47"/>
        <v>0</v>
      </c>
      <c r="AY121" s="19"/>
    </row>
    <row r="122" spans="7:51" x14ac:dyDescent="0.2">
      <c r="G122" s="19">
        <f t="shared" si="54"/>
        <v>80</v>
      </c>
      <c r="H122" s="21">
        <f t="shared" si="56"/>
        <v>9.5241379310344829</v>
      </c>
      <c r="I122" s="28">
        <v>0</v>
      </c>
      <c r="J122" s="84">
        <v>5</v>
      </c>
      <c r="L122" s="87"/>
      <c r="M122" s="82"/>
      <c r="N122" s="82"/>
      <c r="O122" s="82"/>
      <c r="P122" s="82"/>
      <c r="Q122" s="82"/>
      <c r="R122" s="82"/>
      <c r="S122" s="82"/>
      <c r="T122" s="82"/>
      <c r="U122" s="82"/>
      <c r="V122" s="127"/>
      <c r="W122" s="128"/>
      <c r="Y122" s="101">
        <f>IF(Simulation!$C$10="litio+",30,IF(Simulation!$C$10="Lithium",30,IF(Simulation!$C$10="piombo",0,)))</f>
        <v>30</v>
      </c>
      <c r="Z122" s="103">
        <f t="shared" si="61"/>
        <v>20</v>
      </c>
      <c r="AA122" s="63"/>
      <c r="AB122" s="46"/>
      <c r="AC122" s="46"/>
      <c r="AD122" s="47"/>
      <c r="AE122" s="98"/>
      <c r="AF122" s="62">
        <f>AF121+AI122</f>
        <v>58</v>
      </c>
      <c r="AG122" s="63"/>
      <c r="AH122" s="46"/>
      <c r="AI122" s="69">
        <f>IF(AJ122&gt;0,IF(Simulation!$C$10="Lithium",VLOOKUP(AJ122+$C$16,Tabella4[],3)-AF121,0),0)</f>
        <v>30</v>
      </c>
      <c r="AJ122" s="69">
        <f>IF(AF121&gt;7,VLOOKUP(AF121,Tabella44[],2),0)</f>
        <v>7</v>
      </c>
      <c r="AK122" s="46"/>
      <c r="AL122" s="70">
        <f>Simulation!$D$13*Simulation!$D$12</f>
        <v>15</v>
      </c>
      <c r="AM122" s="47">
        <f t="shared" si="60"/>
        <v>74.875</v>
      </c>
      <c r="AN122" s="48">
        <f t="shared" si="58"/>
        <v>74.875</v>
      </c>
      <c r="AO122" s="47"/>
      <c r="AP122" s="47"/>
      <c r="AQ122" s="47"/>
      <c r="AR122" s="49">
        <v>60</v>
      </c>
      <c r="AS122" s="60">
        <f>IF(AS121&gt;7,AS121-AT122,0)</f>
        <v>0</v>
      </c>
      <c r="AT122" s="61">
        <f>MROUND($C$10*$C$13/60,2)</f>
        <v>30</v>
      </c>
      <c r="AU122" s="44"/>
      <c r="AV122" s="45">
        <f>$C$13</f>
        <v>120</v>
      </c>
      <c r="AW122" s="52">
        <f t="shared" si="59"/>
        <v>149.5</v>
      </c>
      <c r="AX122" s="48">
        <f t="shared" si="47"/>
        <v>0</v>
      </c>
      <c r="AY122" s="19"/>
    </row>
    <row r="123" spans="7:51" x14ac:dyDescent="0.2">
      <c r="G123" s="19">
        <f t="shared" si="54"/>
        <v>75</v>
      </c>
      <c r="H123" s="21">
        <f t="shared" si="56"/>
        <v>8.8793103448275872</v>
      </c>
      <c r="I123" s="28">
        <v>0</v>
      </c>
      <c r="J123" s="82">
        <f>(J124+J122)/2</f>
        <v>4.8499999999999996</v>
      </c>
      <c r="L123" s="87"/>
      <c r="M123" s="82"/>
      <c r="N123" s="82"/>
      <c r="O123" s="82"/>
      <c r="P123" s="82"/>
      <c r="Q123" s="82"/>
      <c r="R123" s="82"/>
      <c r="S123" s="82"/>
      <c r="T123" s="82"/>
      <c r="U123" s="82"/>
      <c r="V123" s="128"/>
      <c r="W123" s="127"/>
      <c r="Y123" s="101">
        <f>IF(Simulation!$C$10="litio+",30,IF(Simulation!$C$10="Lithium",30,IF(Simulation!$C$10="piombo",0,)))</f>
        <v>30</v>
      </c>
      <c r="Z123" s="103">
        <f t="shared" si="61"/>
        <v>22</v>
      </c>
      <c r="AA123" s="63"/>
      <c r="AB123" s="46"/>
      <c r="AC123" s="65"/>
      <c r="AD123" s="47"/>
      <c r="AE123" s="98"/>
      <c r="AF123" s="71">
        <f>AF122</f>
        <v>58</v>
      </c>
      <c r="AG123" s="72"/>
      <c r="AH123" s="73"/>
      <c r="AI123" s="74"/>
      <c r="AJ123" s="74"/>
      <c r="AK123" s="64">
        <f>$AL123</f>
        <v>7.5</v>
      </c>
      <c r="AL123" s="66">
        <f>(Simulation!$D$13-(Simulation!$D$13*Simulation!$D$12))/2</f>
        <v>7.5</v>
      </c>
      <c r="AM123" s="47">
        <f t="shared" si="60"/>
        <v>75</v>
      </c>
      <c r="AN123" s="48">
        <f t="shared" si="58"/>
        <v>75</v>
      </c>
      <c r="AO123" s="47"/>
      <c r="AP123" s="47"/>
      <c r="AQ123" s="47"/>
      <c r="AR123" s="49"/>
      <c r="AS123" s="67">
        <f>AS122</f>
        <v>0</v>
      </c>
      <c r="AT123" s="51"/>
      <c r="AU123" s="68">
        <f>Simulation!$D$13</f>
        <v>30</v>
      </c>
      <c r="AV123" s="53">
        <f>$AU$5</f>
        <v>30</v>
      </c>
      <c r="AW123" s="52">
        <f t="shared" si="59"/>
        <v>150</v>
      </c>
      <c r="AX123" s="48">
        <f t="shared" si="47"/>
        <v>0</v>
      </c>
      <c r="AY123" s="19"/>
    </row>
    <row r="124" spans="7:51" x14ac:dyDescent="0.2">
      <c r="G124" s="19">
        <f t="shared" si="54"/>
        <v>70</v>
      </c>
      <c r="H124" s="21">
        <f t="shared" si="56"/>
        <v>8.2344827586206897</v>
      </c>
      <c r="I124" s="28">
        <v>0</v>
      </c>
      <c r="J124" s="84">
        <v>4.7</v>
      </c>
      <c r="L124" s="87"/>
      <c r="M124" s="82"/>
      <c r="N124" s="82"/>
      <c r="O124" s="82"/>
      <c r="P124" s="82"/>
      <c r="Q124" s="82"/>
      <c r="R124" s="82"/>
      <c r="S124" s="82"/>
      <c r="T124" s="82"/>
      <c r="U124" s="82"/>
      <c r="V124" s="127"/>
      <c r="W124" s="128"/>
      <c r="Y124" s="101">
        <f>IF(Simulation!$C$10="litio+",30,IF(Simulation!$C$10="Lithium",30,IF(Simulation!$C$10="piombo",0,)))</f>
        <v>30</v>
      </c>
      <c r="Z124" s="103">
        <f t="shared" si="61"/>
        <v>24</v>
      </c>
      <c r="AA124" s="63"/>
      <c r="AB124" s="46"/>
      <c r="AC124" s="46"/>
      <c r="AD124" s="47"/>
      <c r="AE124" s="98">
        <v>32</v>
      </c>
      <c r="AF124" s="54">
        <f>IF(AF123&gt;7,AF123-AG124,0)</f>
        <v>28</v>
      </c>
      <c r="AG124" s="55">
        <f>MROUND($C$10*$C$13/60,2)</f>
        <v>30</v>
      </c>
      <c r="AH124" s="56"/>
      <c r="AI124" s="57"/>
      <c r="AJ124" s="57"/>
      <c r="AK124" s="58"/>
      <c r="AL124" s="59">
        <f>$C$13</f>
        <v>120</v>
      </c>
      <c r="AM124" s="47">
        <f t="shared" si="60"/>
        <v>77</v>
      </c>
      <c r="AN124" s="48">
        <f t="shared" si="58"/>
        <v>77</v>
      </c>
      <c r="AO124" s="47"/>
      <c r="AP124" s="47"/>
      <c r="AQ124" s="47"/>
      <c r="AR124" s="49">
        <v>61</v>
      </c>
      <c r="AS124" s="60">
        <f>IF(AS123&gt;7,AS123-AT124,0)</f>
        <v>0</v>
      </c>
      <c r="AT124" s="61">
        <f>MROUND($C$10*$C$13/60,2)</f>
        <v>30</v>
      </c>
      <c r="AU124" s="44"/>
      <c r="AV124" s="45">
        <f>$C$13</f>
        <v>120</v>
      </c>
      <c r="AW124" s="52">
        <f t="shared" si="59"/>
        <v>152</v>
      </c>
      <c r="AX124" s="48">
        <f t="shared" si="47"/>
        <v>0</v>
      </c>
      <c r="AY124" s="19"/>
    </row>
    <row r="125" spans="7:51" x14ac:dyDescent="0.2">
      <c r="G125" s="19">
        <f t="shared" si="54"/>
        <v>65</v>
      </c>
      <c r="H125" s="21">
        <f t="shared" si="56"/>
        <v>7.5896551724137939</v>
      </c>
      <c r="I125" s="28">
        <v>0</v>
      </c>
      <c r="J125" s="82">
        <f>(J126+J124)/2</f>
        <v>4.45</v>
      </c>
      <c r="L125" s="87"/>
      <c r="M125" s="82"/>
      <c r="N125" s="82"/>
      <c r="O125" s="82"/>
      <c r="P125" s="82"/>
      <c r="Q125" s="82"/>
      <c r="R125" s="82"/>
      <c r="S125" s="82"/>
      <c r="T125" s="82"/>
      <c r="U125" s="82"/>
      <c r="V125" s="129"/>
      <c r="W125" s="127"/>
      <c r="Y125" s="101">
        <f>IF(Simulation!$C$10="litio+",30,IF(Simulation!$C$10="Lithium",30,IF(Simulation!$C$10="piombo",0,)))</f>
        <v>30</v>
      </c>
      <c r="Z125" s="103">
        <f t="shared" si="61"/>
        <v>26</v>
      </c>
      <c r="AA125" s="63"/>
      <c r="AB125" s="46"/>
      <c r="AC125" s="65"/>
      <c r="AD125" s="47"/>
      <c r="AE125" s="98"/>
      <c r="AF125" s="62">
        <f>AF124</f>
        <v>28</v>
      </c>
      <c r="AG125" s="63"/>
      <c r="AH125" s="64">
        <f>$AL125</f>
        <v>7.5</v>
      </c>
      <c r="AI125" s="65"/>
      <c r="AJ125" s="65"/>
      <c r="AK125" s="46"/>
      <c r="AL125" s="66">
        <f>(Simulation!$D$13-(Simulation!$D$13*Simulation!$D$12))/2</f>
        <v>7.5</v>
      </c>
      <c r="AM125" s="47">
        <f t="shared" si="60"/>
        <v>77.125</v>
      </c>
      <c r="AN125" s="48">
        <f t="shared" si="58"/>
        <v>77.125</v>
      </c>
      <c r="AO125" s="47"/>
      <c r="AP125" s="47"/>
      <c r="AQ125" s="47"/>
      <c r="AR125" s="49"/>
      <c r="AS125" s="67">
        <f>AS124</f>
        <v>0</v>
      </c>
      <c r="AT125" s="51"/>
      <c r="AU125" s="68">
        <f>Simulation!$D$13</f>
        <v>30</v>
      </c>
      <c r="AV125" s="53">
        <f>$AU$5</f>
        <v>30</v>
      </c>
      <c r="AW125" s="52">
        <f t="shared" si="59"/>
        <v>152.5</v>
      </c>
      <c r="AX125" s="48">
        <f t="shared" si="47"/>
        <v>0</v>
      </c>
      <c r="AY125" s="19"/>
    </row>
    <row r="126" spans="7:51" x14ac:dyDescent="0.2">
      <c r="G126" s="19">
        <f t="shared" si="54"/>
        <v>60</v>
      </c>
      <c r="H126" s="21">
        <f>($H$98-$H$127)/($G$98-$G$127)*$G126+($H$98-($H$98-$H$127)/($G$98-$G$127)*$G$98)</f>
        <v>6.9448275862068973</v>
      </c>
      <c r="I126" s="28">
        <v>0</v>
      </c>
      <c r="J126" s="84">
        <v>4.2</v>
      </c>
      <c r="L126" s="87"/>
      <c r="M126" s="82"/>
      <c r="N126" s="82"/>
      <c r="O126" s="82"/>
      <c r="P126" s="82"/>
      <c r="Q126" s="82"/>
      <c r="R126" s="82"/>
      <c r="S126" s="82"/>
      <c r="T126" s="82"/>
      <c r="U126" s="82"/>
      <c r="V126" s="130"/>
      <c r="W126" s="128"/>
      <c r="Y126" s="101">
        <f>IF(Simulation!$C$10="litio+",30,IF(Simulation!$C$10="Lithium",30,IF(Simulation!$C$10="piombo",0,)))</f>
        <v>30</v>
      </c>
      <c r="Z126" s="103">
        <f t="shared" si="61"/>
        <v>28</v>
      </c>
      <c r="AA126" s="63"/>
      <c r="AB126" s="46"/>
      <c r="AC126" s="46"/>
      <c r="AD126" s="47"/>
      <c r="AE126" s="98"/>
      <c r="AF126" s="62">
        <f>AF125+AI126</f>
        <v>58</v>
      </c>
      <c r="AG126" s="63"/>
      <c r="AH126" s="46"/>
      <c r="AI126" s="69">
        <f>IF(AJ126&gt;0,IF(Simulation!$C$10="Lithium",VLOOKUP(AJ126+$C$16,Tabella4[],3)-AF125,0),0)</f>
        <v>30</v>
      </c>
      <c r="AJ126" s="69">
        <f>IF(AF125&gt;7,VLOOKUP(AF125,Tabella44[],2),0)</f>
        <v>7</v>
      </c>
      <c r="AK126" s="46"/>
      <c r="AL126" s="70">
        <f>Simulation!$D$13*Simulation!$D$12</f>
        <v>15</v>
      </c>
      <c r="AM126" s="47">
        <f t="shared" si="60"/>
        <v>77.375</v>
      </c>
      <c r="AN126" s="48">
        <f t="shared" si="58"/>
        <v>77.375</v>
      </c>
      <c r="AO126" s="47"/>
      <c r="AP126" s="47"/>
      <c r="AQ126" s="47"/>
      <c r="AR126" s="49">
        <v>62</v>
      </c>
      <c r="AS126" s="60">
        <f>IF(AS125&gt;7,AS125-AT126,0)</f>
        <v>0</v>
      </c>
      <c r="AT126" s="61">
        <f>MROUND($C$10*$C$13/60,2)</f>
        <v>30</v>
      </c>
      <c r="AU126" s="44"/>
      <c r="AV126" s="45">
        <f>$C$13</f>
        <v>120</v>
      </c>
      <c r="AW126" s="52">
        <f t="shared" si="59"/>
        <v>154.5</v>
      </c>
      <c r="AX126" s="48">
        <f t="shared" si="47"/>
        <v>0</v>
      </c>
      <c r="AY126" s="19"/>
    </row>
    <row r="127" spans="7:51" x14ac:dyDescent="0.2">
      <c r="G127" s="19">
        <f t="shared" si="54"/>
        <v>55</v>
      </c>
      <c r="H127" s="39">
        <v>6.3</v>
      </c>
      <c r="I127" s="28">
        <v>0</v>
      </c>
      <c r="J127" s="82">
        <v>4</v>
      </c>
      <c r="L127" s="87"/>
      <c r="M127" s="82"/>
      <c r="N127" s="82"/>
      <c r="O127" s="82"/>
      <c r="P127" s="82"/>
      <c r="Q127" s="82"/>
      <c r="R127" s="82"/>
      <c r="S127" s="82"/>
      <c r="T127" s="82"/>
      <c r="U127" s="82"/>
      <c r="V127" s="129"/>
      <c r="W127" s="127"/>
      <c r="Y127" s="101">
        <f>IF(Simulation!$C$10="litio+",30,IF(Simulation!$C$10="Lithium",30,IF(Simulation!$C$10="piombo",0,)))</f>
        <v>30</v>
      </c>
      <c r="Z127" s="103">
        <f t="shared" si="61"/>
        <v>30</v>
      </c>
      <c r="AA127" s="63"/>
      <c r="AB127" s="46"/>
      <c r="AC127" s="65"/>
      <c r="AD127" s="47"/>
      <c r="AE127" s="98"/>
      <c r="AF127" s="71">
        <f>AF126</f>
        <v>58</v>
      </c>
      <c r="AG127" s="72"/>
      <c r="AH127" s="73"/>
      <c r="AI127" s="74"/>
      <c r="AJ127" s="74"/>
      <c r="AK127" s="64">
        <f>$AL127</f>
        <v>7.5</v>
      </c>
      <c r="AL127" s="66">
        <f>(Simulation!$D$13-(Simulation!$D$13*Simulation!$D$12))/2</f>
        <v>7.5</v>
      </c>
      <c r="AM127" s="47">
        <f t="shared" si="60"/>
        <v>77.5</v>
      </c>
      <c r="AN127" s="48">
        <f t="shared" si="58"/>
        <v>77.5</v>
      </c>
      <c r="AO127" s="47"/>
      <c r="AP127" s="47"/>
      <c r="AQ127" s="47"/>
      <c r="AR127" s="49"/>
      <c r="AS127" s="67">
        <f>AS126</f>
        <v>0</v>
      </c>
      <c r="AT127" s="51"/>
      <c r="AU127" s="68">
        <f>Simulation!$D$13</f>
        <v>30</v>
      </c>
      <c r="AV127" s="53">
        <f>$AU$5</f>
        <v>30</v>
      </c>
      <c r="AW127" s="52">
        <f t="shared" si="59"/>
        <v>155</v>
      </c>
      <c r="AX127" s="48">
        <f t="shared" si="47"/>
        <v>0</v>
      </c>
      <c r="AY127" s="19"/>
    </row>
    <row r="128" spans="7:51" x14ac:dyDescent="0.2">
      <c r="G128" s="19">
        <f t="shared" si="54"/>
        <v>50</v>
      </c>
      <c r="H128" s="21">
        <f>($H$98-$H$127)/($G$98-$G$127)*$G128+($H$98-($H$98-$H$127)/($G$98-$G$127)*$G$98)</f>
        <v>5.6551724137931041</v>
      </c>
      <c r="I128" s="28">
        <v>0</v>
      </c>
      <c r="J128" s="82">
        <v>3.7</v>
      </c>
      <c r="L128" s="87"/>
      <c r="M128" s="82"/>
      <c r="N128" s="82"/>
      <c r="O128" s="82"/>
      <c r="P128" s="82"/>
      <c r="Q128" s="82"/>
      <c r="R128" s="82"/>
      <c r="S128" s="82"/>
      <c r="T128" s="82"/>
      <c r="U128" s="82"/>
      <c r="V128" s="130"/>
      <c r="W128" s="128"/>
      <c r="Y128" s="101">
        <f>IF(Simulation!$C$10="litio+",30,IF(Simulation!$C$10="Lithium",30,IF(Simulation!$C$10="piombo",0,)))</f>
        <v>30</v>
      </c>
      <c r="Z128" s="103">
        <f t="shared" si="61"/>
        <v>32</v>
      </c>
      <c r="AA128" s="63"/>
      <c r="AB128" s="46"/>
      <c r="AC128" s="46"/>
      <c r="AD128" s="47"/>
      <c r="AE128" s="98">
        <v>33</v>
      </c>
      <c r="AF128" s="54">
        <f>IF(AF127&gt;7,AF127-AG128,0)</f>
        <v>28</v>
      </c>
      <c r="AG128" s="55">
        <f>MROUND($C$10*$C$13/60,2)</f>
        <v>30</v>
      </c>
      <c r="AH128" s="56"/>
      <c r="AI128" s="57"/>
      <c r="AJ128" s="57"/>
      <c r="AK128" s="58"/>
      <c r="AL128" s="59">
        <f>$C$13</f>
        <v>120</v>
      </c>
      <c r="AM128" s="47">
        <f t="shared" si="60"/>
        <v>79.5</v>
      </c>
      <c r="AN128" s="48">
        <f t="shared" si="58"/>
        <v>79.5</v>
      </c>
      <c r="AO128" s="47"/>
      <c r="AP128" s="47"/>
      <c r="AQ128" s="47"/>
      <c r="AR128" s="49">
        <v>63</v>
      </c>
      <c r="AS128" s="60">
        <f>IF(AS127&gt;7,AS127-AT128,0)</f>
        <v>0</v>
      </c>
      <c r="AT128" s="61">
        <f>MROUND($C$10*$C$13/60,2)</f>
        <v>30</v>
      </c>
      <c r="AU128" s="44"/>
      <c r="AV128" s="45">
        <f>$C$13</f>
        <v>120</v>
      </c>
      <c r="AW128" s="52">
        <f t="shared" si="59"/>
        <v>157</v>
      </c>
      <c r="AX128" s="48">
        <f t="shared" si="47"/>
        <v>0</v>
      </c>
      <c r="AY128" s="19"/>
    </row>
    <row r="129" spans="7:51" x14ac:dyDescent="0.2">
      <c r="G129" s="19">
        <f t="shared" si="54"/>
        <v>45</v>
      </c>
      <c r="H129" s="21">
        <f t="shared" ref="H129:H137" si="62">($H$98-$H$127)/($G$98-$G$127)*$G129+($H$98-($H$98-$H$127)/($G$98-$G$127)*$G$98)</f>
        <v>5.0103448275862075</v>
      </c>
      <c r="I129" s="28">
        <v>0</v>
      </c>
      <c r="J129" s="84">
        <v>3.4</v>
      </c>
      <c r="L129" s="87"/>
      <c r="M129" s="82"/>
      <c r="N129" s="82"/>
      <c r="O129" s="82"/>
      <c r="P129" s="82"/>
      <c r="Q129" s="82"/>
      <c r="R129" s="82"/>
      <c r="S129" s="82"/>
      <c r="T129" s="82"/>
      <c r="U129" s="82"/>
      <c r="V129" s="129"/>
      <c r="W129" s="127"/>
      <c r="Y129" s="101">
        <f>IF(Simulation!$C$10="litio+",30,IF(Simulation!$C$10="Lithium",30,IF(Simulation!$C$10="piombo",0,)))</f>
        <v>30</v>
      </c>
      <c r="Z129" s="103">
        <f t="shared" si="61"/>
        <v>34</v>
      </c>
      <c r="AA129" s="63"/>
      <c r="AB129" s="46"/>
      <c r="AC129" s="65"/>
      <c r="AD129" s="47"/>
      <c r="AE129" s="98"/>
      <c r="AF129" s="62">
        <f>AF128</f>
        <v>28</v>
      </c>
      <c r="AG129" s="63"/>
      <c r="AH129" s="64">
        <f>$AL129</f>
        <v>7.5</v>
      </c>
      <c r="AI129" s="65"/>
      <c r="AJ129" s="65"/>
      <c r="AK129" s="46"/>
      <c r="AL129" s="66">
        <f>(Simulation!$D$13-(Simulation!$D$13*Simulation!$D$12))/2</f>
        <v>7.5</v>
      </c>
      <c r="AM129" s="47">
        <f t="shared" si="60"/>
        <v>79.625</v>
      </c>
      <c r="AN129" s="48">
        <f t="shared" si="58"/>
        <v>79.625</v>
      </c>
      <c r="AO129" s="47"/>
      <c r="AP129" s="47"/>
      <c r="AQ129" s="47"/>
      <c r="AR129" s="49"/>
      <c r="AS129" s="67">
        <f>AS128</f>
        <v>0</v>
      </c>
      <c r="AT129" s="51"/>
      <c r="AU129" s="68">
        <f>Simulation!$D$13</f>
        <v>30</v>
      </c>
      <c r="AV129" s="53">
        <f>$AU$5</f>
        <v>30</v>
      </c>
      <c r="AW129" s="52">
        <f t="shared" si="59"/>
        <v>157.5</v>
      </c>
      <c r="AX129" s="48">
        <f t="shared" si="47"/>
        <v>0</v>
      </c>
      <c r="AY129" s="19"/>
    </row>
    <row r="130" spans="7:51" x14ac:dyDescent="0.2">
      <c r="G130" s="19">
        <f>G129-5</f>
        <v>40</v>
      </c>
      <c r="H130" s="21">
        <f t="shared" si="62"/>
        <v>4.3655172413793109</v>
      </c>
      <c r="I130" s="28">
        <v>0</v>
      </c>
      <c r="J130" s="82">
        <f>(J131+J129)/2</f>
        <v>3.3499999999999996</v>
      </c>
      <c r="L130" s="87"/>
      <c r="M130" s="82"/>
      <c r="N130" s="82"/>
      <c r="O130" s="82"/>
      <c r="P130" s="82"/>
      <c r="Q130" s="82"/>
      <c r="R130" s="82"/>
      <c r="S130" s="82"/>
      <c r="T130" s="82"/>
      <c r="U130" s="82"/>
      <c r="V130" s="130"/>
      <c r="W130" s="128"/>
      <c r="Y130" s="101">
        <f>IF(Simulation!$C$10="litio+",30,IF(Simulation!$C$10="Lithium",30,IF(Simulation!$C$10="piombo",0,)))</f>
        <v>30</v>
      </c>
      <c r="Z130" s="103">
        <f t="shared" si="61"/>
        <v>36</v>
      </c>
      <c r="AA130" s="63"/>
      <c r="AB130" s="46"/>
      <c r="AC130" s="46"/>
      <c r="AD130" s="47"/>
      <c r="AE130" s="98"/>
      <c r="AF130" s="62">
        <f>AF129+AI130</f>
        <v>58</v>
      </c>
      <c r="AG130" s="63"/>
      <c r="AH130" s="46"/>
      <c r="AI130" s="69">
        <f>IF(AJ130&gt;0,IF(Simulation!$C$10="Lithium",VLOOKUP(AJ130+$C$16,Tabella4[],3)-AF129,0),0)</f>
        <v>30</v>
      </c>
      <c r="AJ130" s="69">
        <f>IF(AF129&gt;7,VLOOKUP(AF129,Tabella44[],2),0)</f>
        <v>7</v>
      </c>
      <c r="AK130" s="46"/>
      <c r="AL130" s="70">
        <f>Simulation!$D$13*Simulation!$D$12</f>
        <v>15</v>
      </c>
      <c r="AM130" s="47">
        <f t="shared" si="60"/>
        <v>79.875</v>
      </c>
      <c r="AN130" s="48">
        <f t="shared" si="58"/>
        <v>79.875</v>
      </c>
      <c r="AO130" s="47"/>
      <c r="AP130" s="47"/>
      <c r="AQ130" s="47"/>
      <c r="AR130" s="49">
        <v>64</v>
      </c>
      <c r="AS130" s="60">
        <f>IF(AS129&gt;7,AS129-AT130,0)</f>
        <v>0</v>
      </c>
      <c r="AT130" s="61">
        <f>MROUND($C$10*$C$13/60,2)</f>
        <v>30</v>
      </c>
      <c r="AU130" s="44"/>
      <c r="AV130" s="45">
        <f>$C$13</f>
        <v>120</v>
      </c>
      <c r="AW130" s="52">
        <f t="shared" si="59"/>
        <v>159.5</v>
      </c>
      <c r="AX130" s="48">
        <f t="shared" si="47"/>
        <v>0</v>
      </c>
      <c r="AY130" s="19"/>
    </row>
    <row r="131" spans="7:51" x14ac:dyDescent="0.2">
      <c r="G131" s="19">
        <f t="shared" si="54"/>
        <v>35</v>
      </c>
      <c r="H131" s="21">
        <f t="shared" si="62"/>
        <v>3.7206896551724142</v>
      </c>
      <c r="I131" s="28">
        <v>0</v>
      </c>
      <c r="J131" s="84">
        <v>3.3</v>
      </c>
      <c r="L131" s="87"/>
      <c r="M131" s="82"/>
      <c r="N131" s="82"/>
      <c r="O131" s="82"/>
      <c r="P131" s="82"/>
      <c r="Q131" s="82"/>
      <c r="R131" s="82"/>
      <c r="S131" s="82"/>
      <c r="T131" s="82"/>
      <c r="U131" s="82"/>
      <c r="V131" s="129"/>
      <c r="W131" s="127"/>
      <c r="Y131" s="101">
        <f>IF(Simulation!$C$10="litio+",30,IF(Simulation!$C$10="Lithium",30,IF(Simulation!$C$10="piombo",0,)))</f>
        <v>30</v>
      </c>
      <c r="Z131" s="103">
        <f t="shared" si="61"/>
        <v>38</v>
      </c>
      <c r="AA131" s="63"/>
      <c r="AB131" s="46"/>
      <c r="AC131" s="65"/>
      <c r="AD131" s="47"/>
      <c r="AE131" s="98"/>
      <c r="AF131" s="71">
        <f>AF130</f>
        <v>58</v>
      </c>
      <c r="AG131" s="72"/>
      <c r="AH131" s="73"/>
      <c r="AI131" s="74"/>
      <c r="AJ131" s="74"/>
      <c r="AK131" s="64">
        <f>$AL131</f>
        <v>7.5</v>
      </c>
      <c r="AL131" s="66">
        <f>(Simulation!$D$13-(Simulation!$D$13*Simulation!$D$12))/2</f>
        <v>7.5</v>
      </c>
      <c r="AM131" s="47">
        <f t="shared" si="60"/>
        <v>80</v>
      </c>
      <c r="AN131" s="48">
        <f t="shared" si="58"/>
        <v>80</v>
      </c>
      <c r="AO131" s="47"/>
      <c r="AP131" s="47"/>
      <c r="AQ131" s="47"/>
      <c r="AR131" s="49"/>
      <c r="AS131" s="67">
        <f>AS130</f>
        <v>0</v>
      </c>
      <c r="AT131" s="51"/>
      <c r="AU131" s="68">
        <f>Simulation!$D$13</f>
        <v>30</v>
      </c>
      <c r="AV131" s="53">
        <f>$AU$5</f>
        <v>30</v>
      </c>
      <c r="AW131" s="52">
        <f t="shared" si="59"/>
        <v>160</v>
      </c>
      <c r="AX131" s="48">
        <f t="shared" si="47"/>
        <v>0</v>
      </c>
      <c r="AY131" s="19"/>
    </row>
    <row r="132" spans="7:51" x14ac:dyDescent="0.2">
      <c r="G132" s="19">
        <f t="shared" si="54"/>
        <v>30</v>
      </c>
      <c r="H132" s="21">
        <f t="shared" si="62"/>
        <v>3.0758620689655181</v>
      </c>
      <c r="I132" s="28">
        <v>0</v>
      </c>
      <c r="J132" s="82">
        <v>2.9</v>
      </c>
      <c r="L132" s="87"/>
      <c r="M132" s="82"/>
      <c r="N132" s="82"/>
      <c r="O132" s="82"/>
      <c r="P132" s="82"/>
      <c r="Q132" s="82"/>
      <c r="R132" s="82"/>
      <c r="S132" s="82"/>
      <c r="T132" s="82"/>
      <c r="U132" s="82"/>
      <c r="V132" s="130"/>
      <c r="W132" s="128"/>
      <c r="Y132" s="101">
        <f>IF(Simulation!$C$10="litio+",30,IF(Simulation!$C$10="Lithium",30,IF(Simulation!$C$10="piombo",0,)))</f>
        <v>30</v>
      </c>
      <c r="Z132" s="103">
        <f t="shared" si="61"/>
        <v>40</v>
      </c>
      <c r="AA132" s="63"/>
      <c r="AB132" s="46"/>
      <c r="AC132" s="46"/>
      <c r="AD132" s="47"/>
      <c r="AE132" s="98">
        <v>34</v>
      </c>
      <c r="AF132" s="54">
        <f>IF(AF131&gt;7,AF131-AG132,0)</f>
        <v>28</v>
      </c>
      <c r="AG132" s="55">
        <f>MROUND($C$10*$C$13/60,2)</f>
        <v>30</v>
      </c>
      <c r="AH132" s="56"/>
      <c r="AI132" s="57"/>
      <c r="AJ132" s="57"/>
      <c r="AK132" s="58"/>
      <c r="AL132" s="59">
        <f>$C$13</f>
        <v>120</v>
      </c>
      <c r="AM132" s="47">
        <f t="shared" si="60"/>
        <v>82</v>
      </c>
      <c r="AN132" s="48">
        <f t="shared" si="58"/>
        <v>82</v>
      </c>
      <c r="AO132" s="47"/>
      <c r="AP132" s="47"/>
      <c r="AQ132" s="47"/>
      <c r="AR132" s="49">
        <v>65</v>
      </c>
      <c r="AS132" s="60">
        <f>IF(AS131&gt;7,AS131-AT132,0)</f>
        <v>0</v>
      </c>
      <c r="AT132" s="61">
        <f>MROUND($C$10*$C$13/60,2)</f>
        <v>30</v>
      </c>
      <c r="AU132" s="44"/>
      <c r="AV132" s="45">
        <f>$C$13</f>
        <v>120</v>
      </c>
      <c r="AW132" s="52">
        <f t="shared" si="59"/>
        <v>162</v>
      </c>
      <c r="AX132" s="48">
        <f t="shared" ref="AX132:AX155" si="63">IF(AS132&gt;0,1*AW132,0)</f>
        <v>0</v>
      </c>
      <c r="AY132" s="19"/>
    </row>
    <row r="133" spans="7:51" x14ac:dyDescent="0.2">
      <c r="G133" s="19">
        <f t="shared" si="54"/>
        <v>25</v>
      </c>
      <c r="H133" s="21">
        <f t="shared" si="62"/>
        <v>2.4310344827586214</v>
      </c>
      <c r="I133" s="28">
        <v>0</v>
      </c>
      <c r="J133" s="82">
        <v>2.6</v>
      </c>
      <c r="L133" s="87"/>
      <c r="M133" s="82"/>
      <c r="N133" s="82"/>
      <c r="O133" s="82"/>
      <c r="P133" s="82"/>
      <c r="Q133" s="82"/>
      <c r="R133" s="82"/>
      <c r="S133" s="82"/>
      <c r="T133" s="82"/>
      <c r="U133" s="82"/>
      <c r="V133" s="129"/>
      <c r="W133" s="127"/>
      <c r="Y133" s="101">
        <f>IF(Simulation!$C$10="litio+",30,IF(Simulation!$C$10="Lithium",30,IF(Simulation!$C$10="piombo",0,)))</f>
        <v>30</v>
      </c>
      <c r="Z133" s="103">
        <f t="shared" si="61"/>
        <v>42</v>
      </c>
      <c r="AA133" s="63"/>
      <c r="AB133" s="46"/>
      <c r="AC133" s="65"/>
      <c r="AD133" s="47"/>
      <c r="AE133" s="98"/>
      <c r="AF133" s="62">
        <f>AF132</f>
        <v>28</v>
      </c>
      <c r="AG133" s="63"/>
      <c r="AH133" s="64">
        <f>$AL133</f>
        <v>7.5</v>
      </c>
      <c r="AI133" s="65"/>
      <c r="AJ133" s="65"/>
      <c r="AK133" s="46"/>
      <c r="AL133" s="66">
        <f>(Simulation!$D$13-(Simulation!$D$13*Simulation!$D$12))/2</f>
        <v>7.5</v>
      </c>
      <c r="AM133" s="47">
        <f t="shared" si="60"/>
        <v>82.125</v>
      </c>
      <c r="AN133" s="48">
        <f t="shared" si="58"/>
        <v>82.125</v>
      </c>
      <c r="AO133" s="47"/>
      <c r="AP133" s="47"/>
      <c r="AQ133" s="47"/>
      <c r="AR133" s="49"/>
      <c r="AS133" s="67">
        <f>AS132</f>
        <v>0</v>
      </c>
      <c r="AT133" s="51"/>
      <c r="AU133" s="68">
        <f>Simulation!$D$13</f>
        <v>30</v>
      </c>
      <c r="AV133" s="53">
        <f>$AU$5</f>
        <v>30</v>
      </c>
      <c r="AW133" s="52">
        <f t="shared" si="59"/>
        <v>162.5</v>
      </c>
      <c r="AX133" s="48">
        <f t="shared" si="63"/>
        <v>0</v>
      </c>
      <c r="AY133" s="19"/>
    </row>
    <row r="134" spans="7:51" x14ac:dyDescent="0.2">
      <c r="G134" s="19">
        <f t="shared" si="54"/>
        <v>20</v>
      </c>
      <c r="H134" s="21">
        <f t="shared" si="62"/>
        <v>1.7862068965517248</v>
      </c>
      <c r="I134" s="28">
        <v>0</v>
      </c>
      <c r="J134" s="84">
        <v>2.2999999999999998</v>
      </c>
      <c r="L134" s="87"/>
      <c r="M134" s="82"/>
      <c r="N134" s="82"/>
      <c r="O134" s="82"/>
      <c r="P134" s="82"/>
      <c r="Q134" s="82"/>
      <c r="R134" s="82"/>
      <c r="S134" s="82"/>
      <c r="T134" s="82"/>
      <c r="U134" s="82"/>
      <c r="V134" s="130"/>
      <c r="W134" s="128"/>
      <c r="Y134" s="101">
        <f>IF(Simulation!$C$10="litio+",30,IF(Simulation!$C$10="Lithium",30,IF(Simulation!$C$10="piombo",0,)))</f>
        <v>30</v>
      </c>
      <c r="Z134" s="103">
        <f t="shared" si="61"/>
        <v>44</v>
      </c>
      <c r="AA134" s="63"/>
      <c r="AB134" s="46"/>
      <c r="AC134" s="46"/>
      <c r="AD134" s="47"/>
      <c r="AE134" s="98"/>
      <c r="AF134" s="62">
        <f>AF133+AI134</f>
        <v>58</v>
      </c>
      <c r="AG134" s="63"/>
      <c r="AH134" s="46"/>
      <c r="AI134" s="69">
        <f>IF(AJ134&gt;0,IF(Simulation!$C$10="Lithium",VLOOKUP(AJ134+$C$16,Tabella4[],3)-AF133,0),0)</f>
        <v>30</v>
      </c>
      <c r="AJ134" s="69">
        <f>IF(AF133&gt;7,VLOOKUP(AF133,Tabella44[],2),0)</f>
        <v>7</v>
      </c>
      <c r="AK134" s="46"/>
      <c r="AL134" s="70">
        <f>Simulation!$D$13*Simulation!$D$12</f>
        <v>15</v>
      </c>
      <c r="AM134" s="47">
        <f t="shared" si="60"/>
        <v>82.375</v>
      </c>
      <c r="AN134" s="48">
        <f t="shared" si="58"/>
        <v>82.375</v>
      </c>
      <c r="AO134" s="47"/>
      <c r="AP134" s="47"/>
      <c r="AQ134" s="47"/>
      <c r="AR134" s="49">
        <v>66</v>
      </c>
      <c r="AS134" s="60">
        <f>IF(AS133&gt;7,AS133-AT134,0)</f>
        <v>0</v>
      </c>
      <c r="AT134" s="61">
        <f>MROUND($C$10*$C$13/60,2)</f>
        <v>30</v>
      </c>
      <c r="AU134" s="44"/>
      <c r="AV134" s="45">
        <f>$C$13</f>
        <v>120</v>
      </c>
      <c r="AW134" s="52">
        <f t="shared" si="59"/>
        <v>164.5</v>
      </c>
      <c r="AX134" s="48">
        <f t="shared" si="63"/>
        <v>0</v>
      </c>
      <c r="AY134" s="19"/>
    </row>
    <row r="135" spans="7:51" x14ac:dyDescent="0.2">
      <c r="G135" s="19">
        <f t="shared" si="54"/>
        <v>15</v>
      </c>
      <c r="H135" s="21">
        <f t="shared" si="62"/>
        <v>1.1413793103448284</v>
      </c>
      <c r="I135" s="28">
        <v>0</v>
      </c>
      <c r="J135" s="82">
        <f>(J136+J134)/2</f>
        <v>1.7999999999999998</v>
      </c>
      <c r="L135" s="87"/>
      <c r="M135" s="82"/>
      <c r="N135" s="82"/>
      <c r="O135" s="82"/>
      <c r="P135" s="82"/>
      <c r="Q135" s="82"/>
      <c r="R135" s="82"/>
      <c r="S135" s="82"/>
      <c r="T135" s="82"/>
      <c r="U135" s="82"/>
      <c r="V135" s="129"/>
      <c r="W135" s="127"/>
      <c r="Y135" s="101">
        <f>IF(Simulation!$C$10="litio+",30,IF(Simulation!$C$10="Lithium",30,IF(Simulation!$C$10="piombo",0,)))</f>
        <v>30</v>
      </c>
      <c r="Z135" s="103">
        <f t="shared" si="61"/>
        <v>46</v>
      </c>
      <c r="AA135" s="63"/>
      <c r="AB135" s="46"/>
      <c r="AC135" s="65"/>
      <c r="AD135" s="47"/>
      <c r="AE135" s="98"/>
      <c r="AF135" s="71">
        <f>AF134</f>
        <v>58</v>
      </c>
      <c r="AG135" s="72"/>
      <c r="AH135" s="73"/>
      <c r="AI135" s="74"/>
      <c r="AJ135" s="74"/>
      <c r="AK135" s="64">
        <f>$AL135</f>
        <v>7.5</v>
      </c>
      <c r="AL135" s="66">
        <f>(Simulation!$D$13-(Simulation!$D$13*Simulation!$D$12))/2</f>
        <v>7.5</v>
      </c>
      <c r="AM135" s="47">
        <f t="shared" si="60"/>
        <v>82.5</v>
      </c>
      <c r="AN135" s="48">
        <f t="shared" si="58"/>
        <v>82.5</v>
      </c>
      <c r="AO135" s="47"/>
      <c r="AP135" s="47"/>
      <c r="AQ135" s="47"/>
      <c r="AR135" s="49"/>
      <c r="AS135" s="67">
        <f>AS134</f>
        <v>0</v>
      </c>
      <c r="AT135" s="51"/>
      <c r="AU135" s="68">
        <f>Simulation!$D$13</f>
        <v>30</v>
      </c>
      <c r="AV135" s="53">
        <f>$AU$5</f>
        <v>30</v>
      </c>
      <c r="AW135" s="52">
        <f t="shared" si="59"/>
        <v>165</v>
      </c>
      <c r="AX135" s="48">
        <f t="shared" si="63"/>
        <v>0</v>
      </c>
      <c r="AY135" s="19"/>
    </row>
    <row r="136" spans="7:51" ht="15" thickBot="1" x14ac:dyDescent="0.25">
      <c r="G136" s="19">
        <f t="shared" si="54"/>
        <v>10</v>
      </c>
      <c r="H136" s="21">
        <f t="shared" si="62"/>
        <v>0.4965517241379318</v>
      </c>
      <c r="I136" s="28">
        <v>0</v>
      </c>
      <c r="J136" s="84">
        <v>1.3</v>
      </c>
      <c r="L136" s="87"/>
      <c r="M136" s="82"/>
      <c r="N136" s="82"/>
      <c r="O136" s="82"/>
      <c r="P136" s="82"/>
      <c r="Q136" s="82"/>
      <c r="R136" s="82"/>
      <c r="S136" s="82"/>
      <c r="T136" s="82"/>
      <c r="U136" s="82"/>
      <c r="V136" s="130"/>
      <c r="W136" s="128"/>
      <c r="Y136" s="104">
        <f>IF(Simulation!$C$10="litio+",30,IF(Simulation!$C$10="Lithium",30,IF(Simulation!$C$10="piombo",0,)))</f>
        <v>30</v>
      </c>
      <c r="Z136" s="105">
        <f t="shared" si="61"/>
        <v>48</v>
      </c>
      <c r="AA136" s="63"/>
      <c r="AB136" s="46"/>
      <c r="AC136" s="46"/>
      <c r="AD136" s="47"/>
      <c r="AE136" s="98">
        <v>35</v>
      </c>
      <c r="AF136" s="54">
        <f>IF(AF135&gt;7,AF135-AG136,0)</f>
        <v>28</v>
      </c>
      <c r="AG136" s="55">
        <f>MROUND($C$10*$C$13/60,2)</f>
        <v>30</v>
      </c>
      <c r="AH136" s="56"/>
      <c r="AI136" s="57"/>
      <c r="AJ136" s="57"/>
      <c r="AK136" s="58"/>
      <c r="AL136" s="59">
        <f>$C$13</f>
        <v>120</v>
      </c>
      <c r="AM136" s="47">
        <f t="shared" si="60"/>
        <v>84.5</v>
      </c>
      <c r="AN136" s="48">
        <f t="shared" si="58"/>
        <v>84.5</v>
      </c>
      <c r="AO136" s="47"/>
      <c r="AP136" s="47"/>
      <c r="AQ136" s="47"/>
      <c r="AR136" s="49">
        <v>67</v>
      </c>
      <c r="AS136" s="60">
        <f>IF(AS135&gt;7,AS135-AT136,0)</f>
        <v>0</v>
      </c>
      <c r="AT136" s="61">
        <f>MROUND($C$10*$C$13/60,2)</f>
        <v>30</v>
      </c>
      <c r="AU136" s="44"/>
      <c r="AV136" s="45">
        <f>$C$13</f>
        <v>120</v>
      </c>
      <c r="AW136" s="52">
        <f t="shared" si="59"/>
        <v>167</v>
      </c>
      <c r="AX136" s="48">
        <f t="shared" si="63"/>
        <v>0</v>
      </c>
      <c r="AY136" s="19"/>
    </row>
    <row r="137" spans="7:51" ht="15" x14ac:dyDescent="0.25">
      <c r="G137" s="19">
        <f t="shared" si="54"/>
        <v>5</v>
      </c>
      <c r="H137" s="21">
        <f t="shared" si="62"/>
        <v>-0.1482758620689647</v>
      </c>
      <c r="I137" s="28">
        <v>0</v>
      </c>
      <c r="J137" s="82">
        <f>(J138+J136)/2</f>
        <v>0.65</v>
      </c>
      <c r="L137" s="87"/>
      <c r="M137" s="82"/>
      <c r="N137" s="82"/>
      <c r="O137" s="82"/>
      <c r="P137" s="82"/>
      <c r="Q137" s="82"/>
      <c r="R137" s="82"/>
      <c r="S137" s="82"/>
      <c r="T137" s="82"/>
      <c r="U137" s="82"/>
      <c r="V137" s="129"/>
      <c r="W137" s="127"/>
      <c r="Y137" s="98"/>
      <c r="Z137" s="99"/>
      <c r="AA137" s="63"/>
      <c r="AB137" s="46"/>
      <c r="AC137" s="65"/>
      <c r="AD137" s="47"/>
      <c r="AE137" s="98"/>
      <c r="AF137" s="62">
        <f>AF136</f>
        <v>28</v>
      </c>
      <c r="AG137" s="63"/>
      <c r="AH137" s="64">
        <f>$AL137</f>
        <v>7.5</v>
      </c>
      <c r="AI137" s="65"/>
      <c r="AJ137" s="65"/>
      <c r="AK137" s="46"/>
      <c r="AL137" s="66">
        <f>(Simulation!$D$13-(Simulation!$D$13*Simulation!$D$12))/2</f>
        <v>7.5</v>
      </c>
      <c r="AM137" s="47">
        <f t="shared" si="60"/>
        <v>84.625</v>
      </c>
      <c r="AN137" s="48">
        <f t="shared" si="58"/>
        <v>84.625</v>
      </c>
      <c r="AO137" s="47"/>
      <c r="AP137" s="47"/>
      <c r="AQ137" s="47"/>
      <c r="AR137" s="49"/>
      <c r="AS137" s="67">
        <f>AS136</f>
        <v>0</v>
      </c>
      <c r="AT137" s="51"/>
      <c r="AU137" s="68">
        <f>Simulation!$D$13</f>
        <v>30</v>
      </c>
      <c r="AV137" s="53">
        <f>$AU$5</f>
        <v>30</v>
      </c>
      <c r="AW137" s="52">
        <f t="shared" si="59"/>
        <v>167.5</v>
      </c>
      <c r="AX137" s="48">
        <f t="shared" si="63"/>
        <v>0</v>
      </c>
      <c r="AY137" s="19"/>
    </row>
    <row r="138" spans="7:51" ht="15" x14ac:dyDescent="0.25">
      <c r="G138" s="19">
        <f t="shared" si="54"/>
        <v>0</v>
      </c>
      <c r="H138" s="82">
        <v>0</v>
      </c>
      <c r="I138" s="28">
        <v>0</v>
      </c>
      <c r="J138" s="82">
        <v>0</v>
      </c>
      <c r="L138" s="87"/>
      <c r="M138" s="82"/>
      <c r="N138" s="82"/>
      <c r="O138" s="82"/>
      <c r="P138" s="82"/>
      <c r="Q138" s="82"/>
      <c r="R138" s="82"/>
      <c r="S138" s="82"/>
      <c r="T138" s="82"/>
      <c r="U138" s="82"/>
      <c r="V138" s="130"/>
      <c r="W138" s="128"/>
      <c r="Y138" s="98"/>
      <c r="Z138" s="99"/>
      <c r="AA138" s="63"/>
      <c r="AB138" s="46"/>
      <c r="AC138" s="46"/>
      <c r="AD138" s="47"/>
      <c r="AE138" s="98"/>
      <c r="AF138" s="62">
        <f>AF137+AI138</f>
        <v>58</v>
      </c>
      <c r="AG138" s="63"/>
      <c r="AH138" s="46"/>
      <c r="AI138" s="69">
        <f>IF(AJ138&gt;0,IF(Simulation!$C$10="Lithium",VLOOKUP(AJ138+$C$16,Tabella4[],3)-AF137,0),0)</f>
        <v>30</v>
      </c>
      <c r="AJ138" s="69">
        <f>IF(AF137&gt;7,VLOOKUP(AF137,Tabella44[],2),0)</f>
        <v>7</v>
      </c>
      <c r="AK138" s="46"/>
      <c r="AL138" s="70">
        <f>Simulation!$D$13*Simulation!$D$12</f>
        <v>15</v>
      </c>
      <c r="AM138" s="47">
        <f t="shared" si="60"/>
        <v>84.875</v>
      </c>
      <c r="AN138" s="48">
        <f t="shared" ref="AN138:AN180" si="64">IF(AF138&gt;0,1*AM138,0)</f>
        <v>84.875</v>
      </c>
      <c r="AO138" s="47"/>
      <c r="AP138" s="47"/>
      <c r="AQ138" s="47"/>
      <c r="AR138" s="49">
        <v>68</v>
      </c>
      <c r="AS138" s="60">
        <f>IF(AS137&gt;7,AS137-AT138,0)</f>
        <v>0</v>
      </c>
      <c r="AT138" s="61">
        <f>MROUND($C$10*$C$13/60,2)</f>
        <v>30</v>
      </c>
      <c r="AU138" s="44"/>
      <c r="AV138" s="45">
        <f>$C$13</f>
        <v>120</v>
      </c>
      <c r="AW138" s="52">
        <f t="shared" si="59"/>
        <v>169.5</v>
      </c>
      <c r="AX138" s="48">
        <f t="shared" si="63"/>
        <v>0</v>
      </c>
      <c r="AY138" s="19"/>
    </row>
    <row r="139" spans="7:51" x14ac:dyDescent="0.2">
      <c r="G139" s="19"/>
      <c r="H139" s="82"/>
      <c r="I139" s="82"/>
      <c r="J139" s="82"/>
      <c r="U139" s="82"/>
      <c r="V139" s="129"/>
      <c r="W139" s="127"/>
      <c r="Y139" s="106"/>
      <c r="Z139" s="63"/>
      <c r="AA139" s="63"/>
      <c r="AB139" s="46"/>
      <c r="AC139" s="65"/>
      <c r="AD139" s="47"/>
      <c r="AE139" s="98"/>
      <c r="AF139" s="71">
        <f>AF138</f>
        <v>58</v>
      </c>
      <c r="AG139" s="72"/>
      <c r="AH139" s="73"/>
      <c r="AI139" s="74"/>
      <c r="AJ139" s="74"/>
      <c r="AK139" s="64">
        <f>$AL139</f>
        <v>7.5</v>
      </c>
      <c r="AL139" s="66">
        <f>(Simulation!$D$13-(Simulation!$D$13*Simulation!$D$12))/2</f>
        <v>7.5</v>
      </c>
      <c r="AM139" s="47">
        <f t="shared" si="60"/>
        <v>85</v>
      </c>
      <c r="AN139" s="48">
        <f t="shared" si="64"/>
        <v>85</v>
      </c>
      <c r="AO139" s="47"/>
      <c r="AP139" s="47"/>
      <c r="AQ139" s="47"/>
      <c r="AR139" s="49"/>
      <c r="AS139" s="67">
        <f>AS138</f>
        <v>0</v>
      </c>
      <c r="AT139" s="51"/>
      <c r="AU139" s="68">
        <f>Simulation!$D$13</f>
        <v>30</v>
      </c>
      <c r="AV139" s="53">
        <f>$AU$5</f>
        <v>30</v>
      </c>
      <c r="AW139" s="52">
        <f t="shared" si="59"/>
        <v>170</v>
      </c>
      <c r="AX139" s="48">
        <f t="shared" si="63"/>
        <v>0</v>
      </c>
      <c r="AY139" s="19"/>
    </row>
    <row r="140" spans="7:51" x14ac:dyDescent="0.2">
      <c r="U140" s="82"/>
      <c r="V140" s="130"/>
      <c r="W140" s="128"/>
      <c r="Y140" s="65"/>
      <c r="Z140" s="63"/>
      <c r="AA140" s="63"/>
      <c r="AB140" s="46"/>
      <c r="AC140" s="46"/>
      <c r="AD140" s="47"/>
      <c r="AE140" s="98">
        <v>36</v>
      </c>
      <c r="AF140" s="54">
        <f>IF(AF139&gt;7,AF139-AG140,0)</f>
        <v>28</v>
      </c>
      <c r="AG140" s="55">
        <f>MROUND($C$10*$C$13/60,2)</f>
        <v>30</v>
      </c>
      <c r="AH140" s="56"/>
      <c r="AI140" s="57"/>
      <c r="AJ140" s="57"/>
      <c r="AK140" s="58"/>
      <c r="AL140" s="59">
        <f>$C$13</f>
        <v>120</v>
      </c>
      <c r="AM140" s="47">
        <f t="shared" si="60"/>
        <v>87</v>
      </c>
      <c r="AN140" s="48">
        <f t="shared" si="64"/>
        <v>87</v>
      </c>
      <c r="AO140" s="47"/>
      <c r="AP140" s="47"/>
      <c r="AQ140" s="47"/>
      <c r="AR140" s="49">
        <v>69</v>
      </c>
      <c r="AS140" s="60">
        <f>IF(AS139&gt;7,AS139-AT140,0)</f>
        <v>0</v>
      </c>
      <c r="AT140" s="61">
        <f>MROUND($C$10*$C$13/60,2)</f>
        <v>30</v>
      </c>
      <c r="AU140" s="44"/>
      <c r="AV140" s="45">
        <f>$C$13</f>
        <v>120</v>
      </c>
      <c r="AW140" s="52">
        <f t="shared" si="59"/>
        <v>172</v>
      </c>
      <c r="AX140" s="48">
        <f t="shared" si="63"/>
        <v>0</v>
      </c>
      <c r="AY140" s="19"/>
    </row>
    <row r="141" spans="7:51" x14ac:dyDescent="0.2">
      <c r="U141" s="82"/>
      <c r="V141" s="129"/>
      <c r="W141" s="127"/>
      <c r="Y141" s="106"/>
      <c r="Z141" s="63"/>
      <c r="AA141" s="63"/>
      <c r="AB141" s="46"/>
      <c r="AC141" s="65"/>
      <c r="AD141" s="47"/>
      <c r="AE141" s="98"/>
      <c r="AF141" s="62">
        <f>AF140</f>
        <v>28</v>
      </c>
      <c r="AG141" s="63"/>
      <c r="AH141" s="64">
        <f>$AL141</f>
        <v>7.5</v>
      </c>
      <c r="AI141" s="65"/>
      <c r="AJ141" s="65"/>
      <c r="AK141" s="46"/>
      <c r="AL141" s="66">
        <f>(Simulation!$D$13-(Simulation!$D$13*Simulation!$D$12))/2</f>
        <v>7.5</v>
      </c>
      <c r="AM141" s="47">
        <f t="shared" si="60"/>
        <v>87.125</v>
      </c>
      <c r="AN141" s="48">
        <f t="shared" si="64"/>
        <v>87.125</v>
      </c>
      <c r="AO141" s="47"/>
      <c r="AP141" s="47"/>
      <c r="AQ141" s="47"/>
      <c r="AR141" s="49"/>
      <c r="AS141" s="67">
        <f>AS140</f>
        <v>0</v>
      </c>
      <c r="AT141" s="51"/>
      <c r="AU141" s="68">
        <f>Simulation!$D$13</f>
        <v>30</v>
      </c>
      <c r="AV141" s="53">
        <f>$AU$5</f>
        <v>30</v>
      </c>
      <c r="AW141" s="52">
        <f t="shared" si="59"/>
        <v>172.5</v>
      </c>
      <c r="AX141" s="48">
        <f t="shared" si="63"/>
        <v>0</v>
      </c>
      <c r="AY141" s="19"/>
    </row>
    <row r="142" spans="7:51" x14ac:dyDescent="0.2">
      <c r="T142" s="4"/>
      <c r="U142" s="82"/>
      <c r="V142" s="130"/>
      <c r="W142" s="128"/>
      <c r="X142" s="4"/>
      <c r="Z142" s="63"/>
      <c r="AA142" s="63"/>
      <c r="AB142" s="46"/>
      <c r="AC142" s="46"/>
      <c r="AD142" s="47"/>
      <c r="AE142" s="98"/>
      <c r="AF142" s="62">
        <f>AF141+AI142</f>
        <v>58</v>
      </c>
      <c r="AG142" s="63"/>
      <c r="AH142" s="46"/>
      <c r="AI142" s="69">
        <f>IF(AJ142&gt;0,IF(Simulation!$C$10="Lithium",VLOOKUP(AJ142+$C$16,Tabella4[],3)-AF141,0),0)</f>
        <v>30</v>
      </c>
      <c r="AJ142" s="69">
        <f>IF(AF141&gt;7,VLOOKUP(AF141,Tabella44[],2),0)</f>
        <v>7</v>
      </c>
      <c r="AK142" s="46"/>
      <c r="AL142" s="70">
        <f>Simulation!$D$13*Simulation!$D$12</f>
        <v>15</v>
      </c>
      <c r="AM142" s="47">
        <f t="shared" si="60"/>
        <v>87.375</v>
      </c>
      <c r="AN142" s="48">
        <f t="shared" si="64"/>
        <v>87.375</v>
      </c>
      <c r="AO142" s="47"/>
      <c r="AP142" s="47"/>
      <c r="AQ142" s="47"/>
      <c r="AR142" s="49">
        <v>70</v>
      </c>
      <c r="AS142" s="60">
        <f>IF(AS141&gt;7,AS141-AT142,0)</f>
        <v>0</v>
      </c>
      <c r="AT142" s="61">
        <f>MROUND($C$10*$C$13/60,2)</f>
        <v>30</v>
      </c>
      <c r="AU142" s="44"/>
      <c r="AV142" s="45">
        <f>$C$13</f>
        <v>120</v>
      </c>
      <c r="AW142" s="52">
        <f t="shared" si="59"/>
        <v>174.5</v>
      </c>
      <c r="AX142" s="48">
        <f t="shared" si="63"/>
        <v>0</v>
      </c>
      <c r="AY142" s="19"/>
    </row>
    <row r="143" spans="7:51" x14ac:dyDescent="0.2">
      <c r="T143" s="4"/>
      <c r="U143" s="82"/>
      <c r="V143" s="129"/>
      <c r="W143" s="127"/>
      <c r="X143" s="4"/>
      <c r="Z143" s="63"/>
      <c r="AA143" s="63"/>
      <c r="AB143" s="46"/>
      <c r="AC143" s="65"/>
      <c r="AD143" s="47"/>
      <c r="AE143" s="98"/>
      <c r="AF143" s="71">
        <f>AF142</f>
        <v>58</v>
      </c>
      <c r="AG143" s="72"/>
      <c r="AH143" s="73"/>
      <c r="AI143" s="74"/>
      <c r="AJ143" s="74"/>
      <c r="AK143" s="64">
        <f>$AL143</f>
        <v>7.5</v>
      </c>
      <c r="AL143" s="66">
        <f>(Simulation!$D$13-(Simulation!$D$13*Simulation!$D$12))/2</f>
        <v>7.5</v>
      </c>
      <c r="AM143" s="47">
        <f t="shared" si="60"/>
        <v>87.5</v>
      </c>
      <c r="AN143" s="48">
        <f t="shared" si="64"/>
        <v>87.5</v>
      </c>
      <c r="AO143" s="47"/>
      <c r="AP143" s="47"/>
      <c r="AQ143" s="47"/>
      <c r="AR143" s="49"/>
      <c r="AS143" s="67">
        <f>AS142</f>
        <v>0</v>
      </c>
      <c r="AT143" s="51"/>
      <c r="AU143" s="68">
        <f>Simulation!$D$13</f>
        <v>30</v>
      </c>
      <c r="AV143" s="53">
        <f>$AU$5</f>
        <v>30</v>
      </c>
      <c r="AW143" s="52">
        <f t="shared" si="59"/>
        <v>175</v>
      </c>
      <c r="AX143" s="48">
        <f t="shared" si="63"/>
        <v>0</v>
      </c>
      <c r="AY143" s="19"/>
    </row>
    <row r="144" spans="7:51" x14ac:dyDescent="0.2">
      <c r="T144" s="4"/>
      <c r="U144" s="82"/>
      <c r="V144" s="130"/>
      <c r="W144" s="128"/>
      <c r="X144" s="4"/>
      <c r="Z144" s="63"/>
      <c r="AA144" s="63"/>
      <c r="AB144" s="46"/>
      <c r="AC144" s="46"/>
      <c r="AD144" s="47"/>
      <c r="AE144" s="98">
        <v>37</v>
      </c>
      <c r="AF144" s="54">
        <f>IF(AF143&gt;7,AF143-AG144,0)</f>
        <v>28</v>
      </c>
      <c r="AG144" s="55">
        <f>MROUND($C$10*$C$13/60,2)</f>
        <v>30</v>
      </c>
      <c r="AH144" s="56"/>
      <c r="AI144" s="57"/>
      <c r="AJ144" s="57"/>
      <c r="AK144" s="58"/>
      <c r="AL144" s="59">
        <f>$C$13</f>
        <v>120</v>
      </c>
      <c r="AM144" s="47">
        <f t="shared" si="60"/>
        <v>89.5</v>
      </c>
      <c r="AN144" s="48">
        <f t="shared" si="64"/>
        <v>89.5</v>
      </c>
      <c r="AO144" s="47"/>
      <c r="AP144" s="47"/>
      <c r="AQ144" s="47"/>
      <c r="AR144" s="49">
        <v>71</v>
      </c>
      <c r="AS144" s="60">
        <f>IF(AS143&gt;7,AS143-AT144,0)</f>
        <v>0</v>
      </c>
      <c r="AT144" s="61">
        <f>MROUND($C$10*$C$13/60,2)</f>
        <v>30</v>
      </c>
      <c r="AU144" s="44"/>
      <c r="AV144" s="45">
        <f>$C$13</f>
        <v>120</v>
      </c>
      <c r="AW144" s="52">
        <f t="shared" si="59"/>
        <v>177</v>
      </c>
      <c r="AX144" s="48">
        <f t="shared" si="63"/>
        <v>0</v>
      </c>
      <c r="AY144" s="19"/>
    </row>
    <row r="145" spans="20:51" x14ac:dyDescent="0.2">
      <c r="T145" s="4"/>
      <c r="U145" s="82"/>
      <c r="V145" s="129"/>
      <c r="W145" s="127"/>
      <c r="X145" s="4"/>
      <c r="Z145" s="63"/>
      <c r="AA145" s="63"/>
      <c r="AB145" s="46"/>
      <c r="AC145" s="65"/>
      <c r="AD145" s="47"/>
      <c r="AE145" s="98"/>
      <c r="AF145" s="62">
        <f>AF144</f>
        <v>28</v>
      </c>
      <c r="AG145" s="63"/>
      <c r="AH145" s="64">
        <f>$AL145</f>
        <v>7.5</v>
      </c>
      <c r="AI145" s="65"/>
      <c r="AJ145" s="65"/>
      <c r="AK145" s="46"/>
      <c r="AL145" s="66">
        <f>(Simulation!$D$13-(Simulation!$D$13*Simulation!$D$12))/2</f>
        <v>7.5</v>
      </c>
      <c r="AM145" s="47">
        <f t="shared" si="60"/>
        <v>89.625</v>
      </c>
      <c r="AN145" s="48">
        <f t="shared" si="64"/>
        <v>89.625</v>
      </c>
      <c r="AO145" s="47"/>
      <c r="AP145" s="47"/>
      <c r="AQ145" s="47"/>
      <c r="AR145" s="49"/>
      <c r="AS145" s="67">
        <f>AS144</f>
        <v>0</v>
      </c>
      <c r="AT145" s="51"/>
      <c r="AU145" s="68">
        <f>Simulation!$D$13</f>
        <v>30</v>
      </c>
      <c r="AV145" s="53">
        <f>$AU$5</f>
        <v>30</v>
      </c>
      <c r="AW145" s="52">
        <f t="shared" si="59"/>
        <v>177.5</v>
      </c>
      <c r="AX145" s="48">
        <f t="shared" si="63"/>
        <v>0</v>
      </c>
      <c r="AY145" s="19"/>
    </row>
    <row r="146" spans="20:51" x14ac:dyDescent="0.2">
      <c r="T146" s="4"/>
      <c r="U146" s="82"/>
      <c r="V146" s="130"/>
      <c r="W146" s="128"/>
      <c r="X146" s="4"/>
      <c r="Z146" s="63"/>
      <c r="AA146" s="63"/>
      <c r="AB146" s="46"/>
      <c r="AC146" s="46"/>
      <c r="AD146" s="47"/>
      <c r="AE146" s="98"/>
      <c r="AF146" s="62">
        <f>AF145+AI146</f>
        <v>58</v>
      </c>
      <c r="AG146" s="63"/>
      <c r="AH146" s="46"/>
      <c r="AI146" s="69">
        <f>IF(AJ146&gt;0,IF(Simulation!$C$10="Lithium",VLOOKUP(AJ146+$C$16,Tabella4[],3)-AF145,0),0)</f>
        <v>30</v>
      </c>
      <c r="AJ146" s="69">
        <f>IF(AF145&gt;7,VLOOKUP(AF145,Tabella44[],2),0)</f>
        <v>7</v>
      </c>
      <c r="AK146" s="46"/>
      <c r="AL146" s="70">
        <f>Simulation!$D$13*Simulation!$D$12</f>
        <v>15</v>
      </c>
      <c r="AM146" s="47">
        <f t="shared" si="60"/>
        <v>89.875</v>
      </c>
      <c r="AN146" s="48">
        <f t="shared" si="64"/>
        <v>89.875</v>
      </c>
      <c r="AO146" s="47"/>
      <c r="AP146" s="47"/>
      <c r="AQ146" s="47"/>
      <c r="AR146" s="49">
        <v>72</v>
      </c>
      <c r="AS146" s="60">
        <f>IF(AS145&gt;7,AS145-AT146,0)</f>
        <v>0</v>
      </c>
      <c r="AT146" s="61">
        <f>MROUND($C$10*$C$13/60,2)</f>
        <v>30</v>
      </c>
      <c r="AU146" s="44"/>
      <c r="AV146" s="45">
        <f>$C$13</f>
        <v>120</v>
      </c>
      <c r="AW146" s="52">
        <f t="shared" si="59"/>
        <v>179.5</v>
      </c>
      <c r="AX146" s="48">
        <f t="shared" si="63"/>
        <v>0</v>
      </c>
      <c r="AY146" s="19"/>
    </row>
    <row r="147" spans="20:51" x14ac:dyDescent="0.2">
      <c r="T147" s="4"/>
      <c r="U147" s="82"/>
      <c r="V147" s="129"/>
      <c r="W147" s="127"/>
      <c r="X147" s="4"/>
      <c r="Z147" s="63"/>
      <c r="AA147" s="63"/>
      <c r="AB147" s="46"/>
      <c r="AC147" s="65"/>
      <c r="AD147" s="47"/>
      <c r="AE147" s="98"/>
      <c r="AF147" s="71">
        <f>AF146</f>
        <v>58</v>
      </c>
      <c r="AG147" s="72"/>
      <c r="AH147" s="73"/>
      <c r="AI147" s="74"/>
      <c r="AJ147" s="74"/>
      <c r="AK147" s="64">
        <f>$AL147</f>
        <v>7.5</v>
      </c>
      <c r="AL147" s="66">
        <f>(Simulation!$D$13-(Simulation!$D$13*Simulation!$D$12))/2</f>
        <v>7.5</v>
      </c>
      <c r="AM147" s="47">
        <f t="shared" si="60"/>
        <v>90</v>
      </c>
      <c r="AN147" s="48">
        <f t="shared" si="64"/>
        <v>90</v>
      </c>
      <c r="AO147" s="47"/>
      <c r="AP147" s="47"/>
      <c r="AQ147" s="47"/>
      <c r="AR147" s="49"/>
      <c r="AS147" s="67">
        <f>AS146</f>
        <v>0</v>
      </c>
      <c r="AT147" s="51"/>
      <c r="AU147" s="68">
        <f>Simulation!$D$13</f>
        <v>30</v>
      </c>
      <c r="AV147" s="53">
        <f>$AU$5</f>
        <v>30</v>
      </c>
      <c r="AW147" s="52">
        <f t="shared" si="59"/>
        <v>180</v>
      </c>
      <c r="AX147" s="48">
        <f t="shared" si="63"/>
        <v>0</v>
      </c>
      <c r="AY147" s="19"/>
    </row>
    <row r="148" spans="20:51" x14ac:dyDescent="0.2">
      <c r="T148" s="4"/>
      <c r="U148" s="82"/>
      <c r="V148" s="130"/>
      <c r="W148" s="128"/>
      <c r="X148" s="4"/>
      <c r="Z148" s="63"/>
      <c r="AA148" s="63"/>
      <c r="AB148" s="46"/>
      <c r="AC148" s="46"/>
      <c r="AD148" s="47"/>
      <c r="AE148" s="98">
        <v>38</v>
      </c>
      <c r="AF148" s="54">
        <f>IF(AF147&gt;7,AF147-AG148,0)</f>
        <v>28</v>
      </c>
      <c r="AG148" s="55">
        <f>MROUND($C$10*$C$13/60,2)</f>
        <v>30</v>
      </c>
      <c r="AH148" s="56"/>
      <c r="AI148" s="57"/>
      <c r="AJ148" s="57"/>
      <c r="AK148" s="58"/>
      <c r="AL148" s="59">
        <f>$C$13</f>
        <v>120</v>
      </c>
      <c r="AM148" s="47">
        <f t="shared" si="60"/>
        <v>92</v>
      </c>
      <c r="AN148" s="48">
        <f t="shared" si="64"/>
        <v>92</v>
      </c>
      <c r="AO148" s="47"/>
      <c r="AP148" s="47"/>
      <c r="AQ148" s="47"/>
      <c r="AR148" s="49">
        <v>73</v>
      </c>
      <c r="AS148" s="60">
        <f>IF(AS147&gt;7,AS147-AT148,0)</f>
        <v>0</v>
      </c>
      <c r="AT148" s="61">
        <f>MROUND($C$10*$C$13/60,2)</f>
        <v>30</v>
      </c>
      <c r="AU148" s="44"/>
      <c r="AV148" s="45">
        <f>$C$13</f>
        <v>120</v>
      </c>
      <c r="AW148" s="52">
        <f t="shared" si="59"/>
        <v>182</v>
      </c>
      <c r="AX148" s="48">
        <f t="shared" si="63"/>
        <v>0</v>
      </c>
      <c r="AY148" s="19"/>
    </row>
    <row r="149" spans="20:51" x14ac:dyDescent="0.2">
      <c r="T149" s="4"/>
      <c r="U149" s="82"/>
      <c r="V149" s="129"/>
      <c r="W149" s="127"/>
      <c r="X149" s="4"/>
      <c r="Z149" s="63"/>
      <c r="AA149" s="63"/>
      <c r="AB149" s="46"/>
      <c r="AC149" s="65"/>
      <c r="AD149" s="47"/>
      <c r="AE149" s="98"/>
      <c r="AF149" s="62">
        <f>AF148</f>
        <v>28</v>
      </c>
      <c r="AG149" s="63"/>
      <c r="AH149" s="64">
        <f>$AL149</f>
        <v>7.5</v>
      </c>
      <c r="AI149" s="65"/>
      <c r="AJ149" s="65"/>
      <c r="AK149" s="46"/>
      <c r="AL149" s="66">
        <f>(Simulation!$D$13-(Simulation!$D$13*Simulation!$D$12))/2</f>
        <v>7.5</v>
      </c>
      <c r="AM149" s="47">
        <f t="shared" si="60"/>
        <v>92.125</v>
      </c>
      <c r="AN149" s="48">
        <f t="shared" si="64"/>
        <v>92.125</v>
      </c>
      <c r="AO149" s="47"/>
      <c r="AP149" s="47"/>
      <c r="AQ149" s="47"/>
      <c r="AR149" s="49"/>
      <c r="AS149" s="67">
        <f>AS148</f>
        <v>0</v>
      </c>
      <c r="AT149" s="51"/>
      <c r="AU149" s="68">
        <f>Simulation!$D$13</f>
        <v>30</v>
      </c>
      <c r="AV149" s="53">
        <f>$AU$5</f>
        <v>30</v>
      </c>
      <c r="AW149" s="52">
        <f t="shared" si="59"/>
        <v>182.5</v>
      </c>
      <c r="AX149" s="48">
        <f t="shared" si="63"/>
        <v>0</v>
      </c>
      <c r="AY149" s="19"/>
    </row>
    <row r="150" spans="20:51" x14ac:dyDescent="0.2">
      <c r="T150" s="4"/>
      <c r="U150" s="82"/>
      <c r="V150" s="130"/>
      <c r="W150" s="128"/>
      <c r="X150" s="4"/>
      <c r="Z150" s="63"/>
      <c r="AA150" s="63"/>
      <c r="AB150" s="46"/>
      <c r="AC150" s="46"/>
      <c r="AD150" s="47"/>
      <c r="AE150" s="98"/>
      <c r="AF150" s="62">
        <f>AF149+AI150</f>
        <v>58</v>
      </c>
      <c r="AG150" s="63"/>
      <c r="AH150" s="46"/>
      <c r="AI150" s="69">
        <f>IF(AJ150&gt;0,IF(Simulation!$C$10="Lithium",VLOOKUP(AJ150+$C$16,Tabella4[],3)-AF149,0),0)</f>
        <v>30</v>
      </c>
      <c r="AJ150" s="69">
        <f>IF(AF149&gt;7,VLOOKUP(AF149,Tabella44[],2),0)</f>
        <v>7</v>
      </c>
      <c r="AK150" s="46"/>
      <c r="AL150" s="70">
        <f>Simulation!$D$13*Simulation!$D$12</f>
        <v>15</v>
      </c>
      <c r="AM150" s="47">
        <f t="shared" si="60"/>
        <v>92.375</v>
      </c>
      <c r="AN150" s="48">
        <f t="shared" si="64"/>
        <v>92.375</v>
      </c>
      <c r="AO150" s="47"/>
      <c r="AP150" s="47"/>
      <c r="AQ150" s="47"/>
      <c r="AR150" s="49">
        <v>74</v>
      </c>
      <c r="AS150" s="60">
        <f>IF(AS149&gt;7,AS149-AT150,0)</f>
        <v>0</v>
      </c>
      <c r="AT150" s="61">
        <f>MROUND($C$10*$C$13/60,2)</f>
        <v>30</v>
      </c>
      <c r="AU150" s="44"/>
      <c r="AV150" s="45">
        <f>$C$13</f>
        <v>120</v>
      </c>
      <c r="AW150" s="52">
        <f t="shared" si="59"/>
        <v>184.5</v>
      </c>
      <c r="AX150" s="48">
        <f t="shared" si="63"/>
        <v>0</v>
      </c>
      <c r="AY150" s="19"/>
    </row>
    <row r="151" spans="20:51" x14ac:dyDescent="0.2">
      <c r="T151" s="4"/>
      <c r="U151" s="82"/>
      <c r="V151" s="129"/>
      <c r="W151" s="127"/>
      <c r="X151" s="4"/>
      <c r="Z151" s="63"/>
      <c r="AA151" s="63"/>
      <c r="AB151" s="46"/>
      <c r="AC151" s="65"/>
      <c r="AD151" s="47"/>
      <c r="AE151" s="98"/>
      <c r="AF151" s="71">
        <f>AF150</f>
        <v>58</v>
      </c>
      <c r="AG151" s="72"/>
      <c r="AH151" s="73"/>
      <c r="AI151" s="74"/>
      <c r="AJ151" s="74"/>
      <c r="AK151" s="64">
        <f>$AL151</f>
        <v>7.5</v>
      </c>
      <c r="AL151" s="66">
        <f>(Simulation!$D$13-(Simulation!$D$13*Simulation!$D$12))/2</f>
        <v>7.5</v>
      </c>
      <c r="AM151" s="47">
        <f t="shared" si="60"/>
        <v>92.5</v>
      </c>
      <c r="AN151" s="48">
        <f t="shared" si="64"/>
        <v>92.5</v>
      </c>
      <c r="AO151" s="47"/>
      <c r="AP151" s="47"/>
      <c r="AQ151" s="47"/>
      <c r="AR151" s="49"/>
      <c r="AS151" s="67">
        <f>AS150</f>
        <v>0</v>
      </c>
      <c r="AT151" s="51"/>
      <c r="AU151" s="68">
        <f>Simulation!$D$13</f>
        <v>30</v>
      </c>
      <c r="AV151" s="53">
        <f>$AU$5</f>
        <v>30</v>
      </c>
      <c r="AW151" s="52">
        <f t="shared" si="59"/>
        <v>185</v>
      </c>
      <c r="AX151" s="48">
        <f t="shared" si="63"/>
        <v>0</v>
      </c>
      <c r="AY151" s="19"/>
    </row>
    <row r="152" spans="20:51" x14ac:dyDescent="0.2">
      <c r="T152" s="4"/>
      <c r="U152" s="82"/>
      <c r="V152" s="130"/>
      <c r="W152" s="128"/>
      <c r="X152" s="4"/>
      <c r="Z152" s="63"/>
      <c r="AA152" s="63"/>
      <c r="AB152" s="46"/>
      <c r="AC152" s="46"/>
      <c r="AD152" s="47"/>
      <c r="AE152" s="98">
        <v>39</v>
      </c>
      <c r="AF152" s="54">
        <f>IF(AF151&gt;7,AF151-AG152,0)</f>
        <v>28</v>
      </c>
      <c r="AG152" s="55">
        <f>MROUND($C$10*$C$13/60,2)</f>
        <v>30</v>
      </c>
      <c r="AH152" s="56"/>
      <c r="AI152" s="57"/>
      <c r="AJ152" s="57"/>
      <c r="AK152" s="58"/>
      <c r="AL152" s="59">
        <f>$C$13</f>
        <v>120</v>
      </c>
      <c r="AM152" s="47">
        <f t="shared" si="60"/>
        <v>94.5</v>
      </c>
      <c r="AN152" s="48">
        <f t="shared" si="64"/>
        <v>94.5</v>
      </c>
      <c r="AO152" s="47"/>
      <c r="AP152" s="47"/>
      <c r="AQ152" s="47"/>
      <c r="AR152" s="49">
        <v>75</v>
      </c>
      <c r="AS152" s="60">
        <f>IF(AS151&gt;7,AS151-AT152,0)</f>
        <v>0</v>
      </c>
      <c r="AT152" s="61">
        <f>MROUND($C$10*$C$13/60,2)</f>
        <v>30</v>
      </c>
      <c r="AU152" s="44"/>
      <c r="AV152" s="45">
        <f>$C$13</f>
        <v>120</v>
      </c>
      <c r="AW152" s="52">
        <f t="shared" si="59"/>
        <v>187</v>
      </c>
      <c r="AX152" s="48">
        <f t="shared" si="63"/>
        <v>0</v>
      </c>
      <c r="AY152" s="19"/>
    </row>
    <row r="153" spans="20:51" x14ac:dyDescent="0.2">
      <c r="T153" s="4"/>
      <c r="U153" s="82"/>
      <c r="V153" s="129"/>
      <c r="W153" s="127"/>
      <c r="X153" s="4"/>
      <c r="Z153" s="63"/>
      <c r="AA153" s="63"/>
      <c r="AB153" s="46"/>
      <c r="AC153" s="65"/>
      <c r="AD153" s="47"/>
      <c r="AE153" s="98"/>
      <c r="AF153" s="62">
        <f>AF152</f>
        <v>28</v>
      </c>
      <c r="AG153" s="63"/>
      <c r="AH153" s="64">
        <f>$AL153</f>
        <v>7.5</v>
      </c>
      <c r="AI153" s="65"/>
      <c r="AJ153" s="65"/>
      <c r="AK153" s="46"/>
      <c r="AL153" s="66">
        <f>(Simulation!$D$13-(Simulation!$D$13*Simulation!$D$12))/2</f>
        <v>7.5</v>
      </c>
      <c r="AM153" s="47">
        <f t="shared" si="60"/>
        <v>94.625</v>
      </c>
      <c r="AN153" s="48">
        <f t="shared" si="64"/>
        <v>94.625</v>
      </c>
      <c r="AO153" s="47"/>
      <c r="AP153" s="47"/>
      <c r="AQ153" s="47"/>
      <c r="AR153" s="49"/>
      <c r="AS153" s="67">
        <f>AS152</f>
        <v>0</v>
      </c>
      <c r="AT153" s="51"/>
      <c r="AU153" s="68">
        <f>Simulation!$D$13</f>
        <v>30</v>
      </c>
      <c r="AV153" s="53">
        <f>$AU$5</f>
        <v>30</v>
      </c>
      <c r="AW153" s="52">
        <f t="shared" si="59"/>
        <v>187.5</v>
      </c>
      <c r="AX153" s="48">
        <f t="shared" si="63"/>
        <v>0</v>
      </c>
      <c r="AY153" s="19"/>
    </row>
    <row r="154" spans="20:51" x14ac:dyDescent="0.2">
      <c r="T154" s="4"/>
      <c r="U154" s="82"/>
      <c r="V154" s="130"/>
      <c r="W154" s="128"/>
      <c r="X154" s="4"/>
      <c r="Z154" s="63"/>
      <c r="AA154" s="63"/>
      <c r="AB154" s="46"/>
      <c r="AC154" s="46"/>
      <c r="AD154" s="47"/>
      <c r="AE154" s="98"/>
      <c r="AF154" s="62">
        <f>AF153+AI154</f>
        <v>58</v>
      </c>
      <c r="AG154" s="63"/>
      <c r="AH154" s="46"/>
      <c r="AI154" s="69">
        <f>IF(AJ154&gt;0,IF(Simulation!$C$10="Lithium",VLOOKUP(AJ154+$C$16,Tabella4[],3)-AF153,0),0)</f>
        <v>30</v>
      </c>
      <c r="AJ154" s="69">
        <f>IF(AF153&gt;7,VLOOKUP(AF153,Tabella44[],2),0)</f>
        <v>7</v>
      </c>
      <c r="AK154" s="46"/>
      <c r="AL154" s="70">
        <f>Simulation!$D$13*Simulation!$D$12</f>
        <v>15</v>
      </c>
      <c r="AM154" s="47">
        <f t="shared" si="60"/>
        <v>94.875</v>
      </c>
      <c r="AN154" s="48">
        <f t="shared" si="64"/>
        <v>94.875</v>
      </c>
      <c r="AO154" s="47"/>
      <c r="AP154" s="47"/>
      <c r="AQ154" s="47"/>
      <c r="AR154" s="49">
        <v>76</v>
      </c>
      <c r="AS154" s="60">
        <f>IF(AS153&gt;7,AS153-AT154,0)</f>
        <v>0</v>
      </c>
      <c r="AT154" s="61">
        <f>MROUND($C$10*$C$13/60,2)</f>
        <v>30</v>
      </c>
      <c r="AU154" s="44"/>
      <c r="AV154" s="45">
        <f>$C$13</f>
        <v>120</v>
      </c>
      <c r="AW154" s="52">
        <f t="shared" si="59"/>
        <v>189.5</v>
      </c>
      <c r="AX154" s="48">
        <f t="shared" si="63"/>
        <v>0</v>
      </c>
      <c r="AY154" s="19"/>
    </row>
    <row r="155" spans="20:51" x14ac:dyDescent="0.2">
      <c r="T155" s="4"/>
      <c r="U155" s="82"/>
      <c r="V155" s="129"/>
      <c r="W155" s="127"/>
      <c r="X155" s="4"/>
      <c r="Z155" s="63"/>
      <c r="AA155" s="63"/>
      <c r="AB155" s="46"/>
      <c r="AC155" s="65"/>
      <c r="AD155" s="47"/>
      <c r="AE155" s="98"/>
      <c r="AF155" s="71">
        <f>AF154</f>
        <v>58</v>
      </c>
      <c r="AG155" s="72"/>
      <c r="AH155" s="73"/>
      <c r="AI155" s="74"/>
      <c r="AJ155" s="74"/>
      <c r="AK155" s="64">
        <f>$AL155</f>
        <v>7.5</v>
      </c>
      <c r="AL155" s="66">
        <f>(Simulation!$D$13-(Simulation!$D$13*Simulation!$D$12))/2</f>
        <v>7.5</v>
      </c>
      <c r="AM155" s="47">
        <f t="shared" si="60"/>
        <v>95</v>
      </c>
      <c r="AN155" s="48">
        <f t="shared" si="64"/>
        <v>95</v>
      </c>
      <c r="AO155" s="47"/>
      <c r="AP155" s="47"/>
      <c r="AQ155" s="47"/>
      <c r="AR155" s="49"/>
      <c r="AS155" s="67">
        <f>AS154</f>
        <v>0</v>
      </c>
      <c r="AT155" s="51"/>
      <c r="AU155" s="68">
        <f>Simulation!$D$13</f>
        <v>30</v>
      </c>
      <c r="AV155" s="53">
        <f>$AU$5</f>
        <v>30</v>
      </c>
      <c r="AW155" s="52">
        <f t="shared" si="59"/>
        <v>190</v>
      </c>
      <c r="AX155" s="48">
        <f t="shared" si="63"/>
        <v>0</v>
      </c>
      <c r="AY155" s="19"/>
    </row>
    <row r="156" spans="20:51" x14ac:dyDescent="0.2">
      <c r="T156" s="4"/>
      <c r="U156" s="82"/>
      <c r="V156" s="130"/>
      <c r="W156" s="128"/>
      <c r="X156" s="4"/>
      <c r="Z156" s="63"/>
      <c r="AA156" s="63"/>
      <c r="AB156" s="46"/>
      <c r="AC156" s="46"/>
      <c r="AD156" s="47"/>
      <c r="AE156" s="98">
        <v>40</v>
      </c>
      <c r="AF156" s="54">
        <f>IF(AF155&gt;7,AF155-AG156,0)</f>
        <v>28</v>
      </c>
      <c r="AG156" s="55">
        <f>MROUND($C$10*$C$13/60,2)</f>
        <v>30</v>
      </c>
      <c r="AH156" s="56"/>
      <c r="AI156" s="57"/>
      <c r="AJ156" s="57"/>
      <c r="AK156" s="58"/>
      <c r="AL156" s="59">
        <f>$C$13</f>
        <v>120</v>
      </c>
      <c r="AM156" s="47">
        <f t="shared" ref="AM156:AM219" si="65">((AM155*60)+AL156)/60</f>
        <v>97</v>
      </c>
      <c r="AN156" s="48">
        <f t="shared" si="64"/>
        <v>97</v>
      </c>
      <c r="AR156" s="49">
        <v>77</v>
      </c>
      <c r="AS156" s="60">
        <f>IF(AS155&gt;7,AS155-AT156,0)</f>
        <v>0</v>
      </c>
      <c r="AT156" s="61">
        <f>MROUND($C$10*$C$13/60,2)</f>
        <v>30</v>
      </c>
      <c r="AU156" s="44"/>
      <c r="AV156" s="45">
        <f>$C$13</f>
        <v>120</v>
      </c>
      <c r="AW156" s="52">
        <f t="shared" ref="AW156:AW219" si="66">((AW155*60)+AV156)/60</f>
        <v>192</v>
      </c>
      <c r="AX156" s="48">
        <f t="shared" ref="AX156:AX219" si="67">IF(AS156&gt;0,1*AW156,0)</f>
        <v>0</v>
      </c>
      <c r="AY156" s="19"/>
    </row>
    <row r="157" spans="20:51" x14ac:dyDescent="0.2">
      <c r="T157" s="4"/>
      <c r="U157" s="82"/>
      <c r="V157" s="129"/>
      <c r="W157" s="127"/>
      <c r="X157" s="4"/>
      <c r="Z157" s="63"/>
      <c r="AA157" s="63"/>
      <c r="AB157" s="46"/>
      <c r="AC157" s="65"/>
      <c r="AD157" s="47"/>
      <c r="AE157" s="98"/>
      <c r="AF157" s="62">
        <f>AF156</f>
        <v>28</v>
      </c>
      <c r="AG157" s="63"/>
      <c r="AH157" s="64">
        <f>$AL157</f>
        <v>7.5</v>
      </c>
      <c r="AI157" s="65"/>
      <c r="AJ157" s="65"/>
      <c r="AK157" s="46"/>
      <c r="AL157" s="66">
        <f>(Simulation!$D$13-(Simulation!$D$13*Simulation!$D$12))/2</f>
        <v>7.5</v>
      </c>
      <c r="AM157" s="47">
        <f t="shared" si="65"/>
        <v>97.125</v>
      </c>
      <c r="AN157" s="48">
        <f t="shared" si="64"/>
        <v>97.125</v>
      </c>
      <c r="AR157" s="49"/>
      <c r="AS157" s="67">
        <f>AS156</f>
        <v>0</v>
      </c>
      <c r="AT157" s="51"/>
      <c r="AU157" s="68">
        <f>Simulation!$D$13</f>
        <v>30</v>
      </c>
      <c r="AV157" s="53">
        <f>$AU$5</f>
        <v>30</v>
      </c>
      <c r="AW157" s="52">
        <f t="shared" si="66"/>
        <v>192.5</v>
      </c>
      <c r="AX157" s="48">
        <f t="shared" si="67"/>
        <v>0</v>
      </c>
      <c r="AY157" s="19"/>
    </row>
    <row r="158" spans="20:51" x14ac:dyDescent="0.2">
      <c r="T158" s="4"/>
      <c r="U158" s="82"/>
      <c r="V158" s="130"/>
      <c r="W158" s="128"/>
      <c r="X158" s="4"/>
      <c r="Z158" s="63"/>
      <c r="AA158" s="63"/>
      <c r="AB158" s="46"/>
      <c r="AC158" s="46"/>
      <c r="AD158" s="47"/>
      <c r="AE158" s="98"/>
      <c r="AF158" s="62">
        <f>AF157+AI158</f>
        <v>58</v>
      </c>
      <c r="AG158" s="63"/>
      <c r="AH158" s="46"/>
      <c r="AI158" s="69">
        <f>IF(AJ158&gt;0,IF(Simulation!$C$10="Lithium",VLOOKUP(AJ158+$C$16,Tabella4[],3)-AF157,0),0)</f>
        <v>30</v>
      </c>
      <c r="AJ158" s="69">
        <f>IF(AF157&gt;7,VLOOKUP(AF157,Tabella44[],2),0)</f>
        <v>7</v>
      </c>
      <c r="AK158" s="46"/>
      <c r="AL158" s="70">
        <f>Simulation!$D$13*Simulation!$D$12</f>
        <v>15</v>
      </c>
      <c r="AM158" s="47">
        <f t="shared" si="65"/>
        <v>97.375</v>
      </c>
      <c r="AN158" s="48">
        <f t="shared" si="64"/>
        <v>97.375</v>
      </c>
      <c r="AR158" s="49">
        <v>78</v>
      </c>
      <c r="AS158" s="60">
        <f>IF(AS157&gt;7,AS157-AT158,0)</f>
        <v>0</v>
      </c>
      <c r="AT158" s="61">
        <f>MROUND($C$10*$C$13/60,2)</f>
        <v>30</v>
      </c>
      <c r="AU158" s="44"/>
      <c r="AV158" s="45">
        <f>$C$13</f>
        <v>120</v>
      </c>
      <c r="AW158" s="52">
        <f t="shared" si="66"/>
        <v>194.5</v>
      </c>
      <c r="AX158" s="48">
        <f t="shared" si="67"/>
        <v>0</v>
      </c>
      <c r="AY158" s="19"/>
    </row>
    <row r="159" spans="20:51" x14ac:dyDescent="0.2">
      <c r="T159" s="4"/>
      <c r="U159" s="82"/>
      <c r="V159" s="129"/>
      <c r="W159" s="127"/>
      <c r="X159" s="4"/>
      <c r="Z159" s="63"/>
      <c r="AA159" s="63"/>
      <c r="AB159" s="46"/>
      <c r="AC159" s="65"/>
      <c r="AD159" s="47"/>
      <c r="AE159" s="98"/>
      <c r="AF159" s="71">
        <f>AF158</f>
        <v>58</v>
      </c>
      <c r="AG159" s="72"/>
      <c r="AH159" s="73"/>
      <c r="AI159" s="74"/>
      <c r="AJ159" s="74"/>
      <c r="AK159" s="64">
        <f>$AL159</f>
        <v>7.5</v>
      </c>
      <c r="AL159" s="66">
        <f>(Simulation!$D$13-(Simulation!$D$13*Simulation!$D$12))/2</f>
        <v>7.5</v>
      </c>
      <c r="AM159" s="47">
        <f t="shared" si="65"/>
        <v>97.5</v>
      </c>
      <c r="AN159" s="48">
        <f t="shared" si="64"/>
        <v>97.5</v>
      </c>
      <c r="AR159" s="49"/>
      <c r="AS159" s="67">
        <f>AS158</f>
        <v>0</v>
      </c>
      <c r="AT159" s="51"/>
      <c r="AU159" s="68">
        <f>Simulation!$D$13</f>
        <v>30</v>
      </c>
      <c r="AV159" s="53">
        <f>$AU$5</f>
        <v>30</v>
      </c>
      <c r="AW159" s="52">
        <f t="shared" si="66"/>
        <v>195</v>
      </c>
      <c r="AX159" s="48">
        <f t="shared" si="67"/>
        <v>0</v>
      </c>
      <c r="AY159" s="19"/>
    </row>
    <row r="160" spans="20:51" x14ac:dyDescent="0.2">
      <c r="T160" s="4"/>
      <c r="U160" s="82"/>
      <c r="V160" s="130"/>
      <c r="W160" s="128"/>
      <c r="X160" s="4"/>
      <c r="Z160" s="63"/>
      <c r="AA160" s="63"/>
      <c r="AB160" s="46"/>
      <c r="AC160" s="46"/>
      <c r="AD160" s="47"/>
      <c r="AE160" s="98">
        <v>41</v>
      </c>
      <c r="AF160" s="54">
        <f>IF(AF159&gt;7,AF159-AG160,0)</f>
        <v>28</v>
      </c>
      <c r="AG160" s="55">
        <f>MROUND($C$10*$C$13/60,2)</f>
        <v>30</v>
      </c>
      <c r="AH160" s="56"/>
      <c r="AI160" s="57"/>
      <c r="AJ160" s="57"/>
      <c r="AK160" s="58"/>
      <c r="AL160" s="59">
        <f>$C$13</f>
        <v>120</v>
      </c>
      <c r="AM160" s="47">
        <f t="shared" si="65"/>
        <v>99.5</v>
      </c>
      <c r="AN160" s="48">
        <f t="shared" si="64"/>
        <v>99.5</v>
      </c>
      <c r="AR160" s="49">
        <v>79</v>
      </c>
      <c r="AS160" s="60">
        <f>IF(AS159&gt;7,AS159-AT160,0)</f>
        <v>0</v>
      </c>
      <c r="AT160" s="61">
        <f>MROUND($C$10*$C$13/60,2)</f>
        <v>30</v>
      </c>
      <c r="AU160" s="44"/>
      <c r="AV160" s="45">
        <f>$C$13</f>
        <v>120</v>
      </c>
      <c r="AW160" s="52">
        <f t="shared" si="66"/>
        <v>197</v>
      </c>
      <c r="AX160" s="48">
        <f t="shared" si="67"/>
        <v>0</v>
      </c>
      <c r="AY160" s="19"/>
    </row>
    <row r="161" spans="20:51" x14ac:dyDescent="0.2">
      <c r="T161" s="4"/>
      <c r="U161" s="82"/>
      <c r="V161" s="129"/>
      <c r="W161" s="127"/>
      <c r="X161" s="4"/>
      <c r="Z161" s="63"/>
      <c r="AA161" s="63"/>
      <c r="AB161" s="46"/>
      <c r="AC161" s="65"/>
      <c r="AD161" s="47"/>
      <c r="AE161" s="98"/>
      <c r="AF161" s="62">
        <f>AF160</f>
        <v>28</v>
      </c>
      <c r="AG161" s="63"/>
      <c r="AH161" s="64">
        <f>$AL161</f>
        <v>7.5</v>
      </c>
      <c r="AI161" s="65"/>
      <c r="AJ161" s="65"/>
      <c r="AK161" s="46"/>
      <c r="AL161" s="66">
        <f>(Simulation!$D$13-(Simulation!$D$13*Simulation!$D$12))/2</f>
        <v>7.5</v>
      </c>
      <c r="AM161" s="47">
        <f t="shared" si="65"/>
        <v>99.625</v>
      </c>
      <c r="AN161" s="48">
        <f t="shared" si="64"/>
        <v>99.625</v>
      </c>
      <c r="AR161" s="49"/>
      <c r="AS161" s="67">
        <f>AS160</f>
        <v>0</v>
      </c>
      <c r="AT161" s="51"/>
      <c r="AU161" s="68">
        <f>Simulation!$D$13</f>
        <v>30</v>
      </c>
      <c r="AV161" s="53">
        <f>$AU$5</f>
        <v>30</v>
      </c>
      <c r="AW161" s="52">
        <f t="shared" si="66"/>
        <v>197.5</v>
      </c>
      <c r="AX161" s="48">
        <f t="shared" si="67"/>
        <v>0</v>
      </c>
      <c r="AY161" s="19"/>
    </row>
    <row r="162" spans="20:51" x14ac:dyDescent="0.2">
      <c r="T162" s="4"/>
      <c r="U162" s="82"/>
      <c r="V162" s="130"/>
      <c r="W162" s="128"/>
      <c r="X162" s="4"/>
      <c r="Z162" s="63"/>
      <c r="AA162" s="63"/>
      <c r="AB162" s="46"/>
      <c r="AC162" s="46"/>
      <c r="AD162" s="47"/>
      <c r="AE162" s="98"/>
      <c r="AF162" s="62">
        <f>AF161+AI162</f>
        <v>58</v>
      </c>
      <c r="AG162" s="63"/>
      <c r="AH162" s="46"/>
      <c r="AI162" s="69">
        <f>IF(AJ162&gt;0,IF(Simulation!$C$10="Lithium",VLOOKUP(AJ162+$C$16,Tabella4[],3)-AF161,0),0)</f>
        <v>30</v>
      </c>
      <c r="AJ162" s="69">
        <f>IF(AF161&gt;7,VLOOKUP(AF161,Tabella44[],2),0)</f>
        <v>7</v>
      </c>
      <c r="AK162" s="46"/>
      <c r="AL162" s="70">
        <f>Simulation!$D$13*Simulation!$D$12</f>
        <v>15</v>
      </c>
      <c r="AM162" s="47">
        <f t="shared" si="65"/>
        <v>99.875</v>
      </c>
      <c r="AN162" s="48">
        <f t="shared" si="64"/>
        <v>99.875</v>
      </c>
      <c r="AR162" s="49">
        <v>80</v>
      </c>
      <c r="AS162" s="60">
        <f>IF(AS161&gt;7,AS161-AT162,0)</f>
        <v>0</v>
      </c>
      <c r="AT162" s="61">
        <f>MROUND($C$10*$C$13/60,2)</f>
        <v>30</v>
      </c>
      <c r="AU162" s="44"/>
      <c r="AV162" s="45">
        <f>$C$13</f>
        <v>120</v>
      </c>
      <c r="AW162" s="52">
        <f t="shared" si="66"/>
        <v>199.5</v>
      </c>
      <c r="AX162" s="48">
        <f t="shared" si="67"/>
        <v>0</v>
      </c>
      <c r="AY162" s="19"/>
    </row>
    <row r="163" spans="20:51" x14ac:dyDescent="0.2">
      <c r="T163" s="4"/>
      <c r="U163" s="82"/>
      <c r="V163" s="129"/>
      <c r="W163" s="127"/>
      <c r="X163" s="4"/>
      <c r="Z163" s="63"/>
      <c r="AA163" s="63"/>
      <c r="AB163" s="46"/>
      <c r="AC163" s="65"/>
      <c r="AD163" s="47"/>
      <c r="AE163" s="98"/>
      <c r="AF163" s="71">
        <f>AF162</f>
        <v>58</v>
      </c>
      <c r="AG163" s="72"/>
      <c r="AH163" s="73"/>
      <c r="AI163" s="74"/>
      <c r="AJ163" s="74"/>
      <c r="AK163" s="64">
        <f>$AL163</f>
        <v>7.5</v>
      </c>
      <c r="AL163" s="66">
        <f>(Simulation!$D$13-(Simulation!$D$13*Simulation!$D$12))/2</f>
        <v>7.5</v>
      </c>
      <c r="AM163" s="47">
        <f t="shared" si="65"/>
        <v>100</v>
      </c>
      <c r="AN163" s="48">
        <f t="shared" si="64"/>
        <v>100</v>
      </c>
      <c r="AR163" s="49"/>
      <c r="AS163" s="67">
        <f>AS162</f>
        <v>0</v>
      </c>
      <c r="AT163" s="51"/>
      <c r="AU163" s="68">
        <f>Simulation!$D$13</f>
        <v>30</v>
      </c>
      <c r="AV163" s="53">
        <f>$AU$5</f>
        <v>30</v>
      </c>
      <c r="AW163" s="52">
        <f t="shared" si="66"/>
        <v>200</v>
      </c>
      <c r="AX163" s="48">
        <f t="shared" si="67"/>
        <v>0</v>
      </c>
      <c r="AY163" s="19"/>
    </row>
    <row r="164" spans="20:51" x14ac:dyDescent="0.2">
      <c r="T164" s="4"/>
      <c r="U164" s="82"/>
      <c r="V164" s="130"/>
      <c r="W164" s="128"/>
      <c r="X164" s="4"/>
      <c r="Z164" s="63"/>
      <c r="AA164" s="63"/>
      <c r="AB164" s="46"/>
      <c r="AC164" s="46"/>
      <c r="AD164" s="47"/>
      <c r="AE164" s="98">
        <v>42</v>
      </c>
      <c r="AF164" s="54">
        <f>IF(AF163&gt;7,AF163-AG164,0)</f>
        <v>28</v>
      </c>
      <c r="AG164" s="55">
        <f>MROUND($C$10*$C$13/60,2)</f>
        <v>30</v>
      </c>
      <c r="AH164" s="56"/>
      <c r="AI164" s="57"/>
      <c r="AJ164" s="57"/>
      <c r="AK164" s="58"/>
      <c r="AL164" s="59">
        <f>$C$13</f>
        <v>120</v>
      </c>
      <c r="AM164" s="47">
        <f t="shared" si="65"/>
        <v>102</v>
      </c>
      <c r="AN164" s="48">
        <f t="shared" si="64"/>
        <v>102</v>
      </c>
      <c r="AR164" s="49">
        <v>81</v>
      </c>
      <c r="AS164" s="60">
        <f>IF(AS163&gt;7,AS163-AT164,0)</f>
        <v>0</v>
      </c>
      <c r="AT164" s="61">
        <f>MROUND($C$10*$C$13/60,2)</f>
        <v>30</v>
      </c>
      <c r="AU164" s="44"/>
      <c r="AV164" s="45">
        <f>$C$13</f>
        <v>120</v>
      </c>
      <c r="AW164" s="52">
        <f t="shared" si="66"/>
        <v>202</v>
      </c>
      <c r="AX164" s="48">
        <f t="shared" si="67"/>
        <v>0</v>
      </c>
      <c r="AY164" s="19"/>
    </row>
    <row r="165" spans="20:51" x14ac:dyDescent="0.2">
      <c r="T165" s="4"/>
      <c r="U165" s="82"/>
      <c r="V165" s="129"/>
      <c r="W165" s="127"/>
      <c r="X165" s="4"/>
      <c r="Z165" s="63"/>
      <c r="AA165" s="63"/>
      <c r="AB165" s="46"/>
      <c r="AC165" s="65"/>
      <c r="AD165" s="47"/>
      <c r="AE165" s="98"/>
      <c r="AF165" s="62">
        <f>AF164</f>
        <v>28</v>
      </c>
      <c r="AG165" s="63"/>
      <c r="AH165" s="64">
        <f>$AL165</f>
        <v>7.5</v>
      </c>
      <c r="AI165" s="65"/>
      <c r="AJ165" s="65"/>
      <c r="AK165" s="46"/>
      <c r="AL165" s="66">
        <f>(Simulation!$D$13-(Simulation!$D$13*Simulation!$D$12))/2</f>
        <v>7.5</v>
      </c>
      <c r="AM165" s="47">
        <f t="shared" si="65"/>
        <v>102.125</v>
      </c>
      <c r="AN165" s="48">
        <f t="shared" si="64"/>
        <v>102.125</v>
      </c>
      <c r="AR165" s="49"/>
      <c r="AS165" s="67">
        <f>AS164</f>
        <v>0</v>
      </c>
      <c r="AT165" s="51"/>
      <c r="AU165" s="68">
        <f>Simulation!$D$13</f>
        <v>30</v>
      </c>
      <c r="AV165" s="53">
        <f>$AU$5</f>
        <v>30</v>
      </c>
      <c r="AW165" s="52">
        <f t="shared" si="66"/>
        <v>202.5</v>
      </c>
      <c r="AX165" s="48">
        <f t="shared" si="67"/>
        <v>0</v>
      </c>
      <c r="AY165" s="19"/>
    </row>
    <row r="166" spans="20:51" x14ac:dyDescent="0.2">
      <c r="T166" s="4"/>
      <c r="U166" s="82"/>
      <c r="V166" s="130"/>
      <c r="W166" s="128"/>
      <c r="X166" s="4"/>
      <c r="Z166" s="63"/>
      <c r="AA166" s="63"/>
      <c r="AB166" s="46"/>
      <c r="AC166" s="46"/>
      <c r="AD166" s="47"/>
      <c r="AE166" s="98"/>
      <c r="AF166" s="62">
        <f>AF165+AI166</f>
        <v>58</v>
      </c>
      <c r="AG166" s="63"/>
      <c r="AH166" s="46"/>
      <c r="AI166" s="69">
        <f>IF(AJ166&gt;0,IF(Simulation!$C$10="Lithium",VLOOKUP(AJ166+$C$16,Tabella4[],3)-AF165,0),0)</f>
        <v>30</v>
      </c>
      <c r="AJ166" s="69">
        <f>IF(AF165&gt;7,VLOOKUP(AF165,Tabella44[],2),0)</f>
        <v>7</v>
      </c>
      <c r="AK166" s="46"/>
      <c r="AL166" s="70">
        <f>Simulation!$D$13*Simulation!$D$12</f>
        <v>15</v>
      </c>
      <c r="AM166" s="47">
        <f t="shared" si="65"/>
        <v>102.375</v>
      </c>
      <c r="AN166" s="48">
        <f t="shared" si="64"/>
        <v>102.375</v>
      </c>
      <c r="AR166" s="49">
        <v>82</v>
      </c>
      <c r="AS166" s="60">
        <f>IF(AS165&gt;7,AS165-AT166,0)</f>
        <v>0</v>
      </c>
      <c r="AT166" s="61">
        <f>MROUND($C$10*$C$13/60,2)</f>
        <v>30</v>
      </c>
      <c r="AU166" s="44"/>
      <c r="AV166" s="45">
        <f>$C$13</f>
        <v>120</v>
      </c>
      <c r="AW166" s="52">
        <f t="shared" si="66"/>
        <v>204.5</v>
      </c>
      <c r="AX166" s="48">
        <f t="shared" si="67"/>
        <v>0</v>
      </c>
      <c r="AY166" s="19"/>
    </row>
    <row r="167" spans="20:51" x14ac:dyDescent="0.2">
      <c r="T167" s="4"/>
      <c r="U167" s="82">
        <f t="shared" ref="U167:U176" si="68">MROUND(V167,2)</f>
        <v>108</v>
      </c>
      <c r="V167" s="129">
        <v>107</v>
      </c>
      <c r="W167" s="127">
        <f>(W166+W168)/2</f>
        <v>29.5</v>
      </c>
      <c r="X167" s="4"/>
      <c r="Z167" s="63"/>
      <c r="AA167" s="63"/>
      <c r="AB167" s="46"/>
      <c r="AC167" s="65"/>
      <c r="AD167" s="47"/>
      <c r="AE167" s="98"/>
      <c r="AF167" s="71">
        <f>AF166</f>
        <v>58</v>
      </c>
      <c r="AG167" s="72"/>
      <c r="AH167" s="73"/>
      <c r="AI167" s="74"/>
      <c r="AJ167" s="74"/>
      <c r="AK167" s="64">
        <f>$AL167</f>
        <v>7.5</v>
      </c>
      <c r="AL167" s="66">
        <f>(Simulation!$D$13-(Simulation!$D$13*Simulation!$D$12))/2</f>
        <v>7.5</v>
      </c>
      <c r="AM167" s="47">
        <f t="shared" si="65"/>
        <v>102.5</v>
      </c>
      <c r="AN167" s="48">
        <f t="shared" si="64"/>
        <v>102.5</v>
      </c>
      <c r="AR167" s="49"/>
      <c r="AS167" s="67">
        <f>AS166</f>
        <v>0</v>
      </c>
      <c r="AT167" s="51"/>
      <c r="AU167" s="68">
        <f>Simulation!$D$13</f>
        <v>30</v>
      </c>
      <c r="AV167" s="53">
        <f>$AU$5</f>
        <v>30</v>
      </c>
      <c r="AW167" s="52">
        <f t="shared" si="66"/>
        <v>205</v>
      </c>
      <c r="AX167" s="48">
        <f t="shared" si="67"/>
        <v>0</v>
      </c>
      <c r="AY167" s="19"/>
    </row>
    <row r="168" spans="20:51" x14ac:dyDescent="0.2">
      <c r="T168" s="4"/>
      <c r="U168" s="82">
        <f t="shared" si="68"/>
        <v>108</v>
      </c>
      <c r="V168" s="130">
        <v>108.5</v>
      </c>
      <c r="W168" s="128">
        <v>59</v>
      </c>
      <c r="X168" s="4"/>
      <c r="Z168" s="63"/>
      <c r="AA168" s="63"/>
      <c r="AB168" s="46"/>
      <c r="AC168" s="46"/>
      <c r="AD168" s="47"/>
      <c r="AE168" s="98">
        <v>43</v>
      </c>
      <c r="AF168" s="54">
        <f>IF(AF167&gt;7,AF167-AG168,0)</f>
        <v>28</v>
      </c>
      <c r="AG168" s="55">
        <f>MROUND($C$10*$C$13/60,2)</f>
        <v>30</v>
      </c>
      <c r="AH168" s="56"/>
      <c r="AI168" s="57"/>
      <c r="AJ168" s="57"/>
      <c r="AK168" s="58"/>
      <c r="AL168" s="59">
        <f>$C$13</f>
        <v>120</v>
      </c>
      <c r="AM168" s="47">
        <f t="shared" si="65"/>
        <v>104.5</v>
      </c>
      <c r="AN168" s="48">
        <f t="shared" si="64"/>
        <v>104.5</v>
      </c>
      <c r="AR168" s="49">
        <v>83</v>
      </c>
      <c r="AS168" s="60">
        <f>IF(AS167&gt;7,AS167-AT168,0)</f>
        <v>0</v>
      </c>
      <c r="AT168" s="61">
        <f>MROUND($C$10*$C$13/60,2)</f>
        <v>30</v>
      </c>
      <c r="AU168" s="44"/>
      <c r="AV168" s="45">
        <f>$C$13</f>
        <v>120</v>
      </c>
      <c r="AW168" s="52">
        <f t="shared" si="66"/>
        <v>207</v>
      </c>
      <c r="AX168" s="48">
        <f t="shared" si="67"/>
        <v>0</v>
      </c>
      <c r="AY168" s="19"/>
    </row>
    <row r="169" spans="20:51" x14ac:dyDescent="0.2">
      <c r="T169" s="4"/>
      <c r="U169" s="82">
        <f t="shared" si="68"/>
        <v>110</v>
      </c>
      <c r="V169" s="129">
        <v>110</v>
      </c>
      <c r="W169" s="127">
        <f>(W168+W170)/2</f>
        <v>60</v>
      </c>
      <c r="X169" s="4"/>
      <c r="Z169" s="63"/>
      <c r="AA169" s="63"/>
      <c r="AB169" s="46"/>
      <c r="AC169" s="65"/>
      <c r="AD169" s="47"/>
      <c r="AE169" s="98"/>
      <c r="AF169" s="62">
        <f>AF168</f>
        <v>28</v>
      </c>
      <c r="AG169" s="63"/>
      <c r="AH169" s="64">
        <f>$AL169</f>
        <v>7.5</v>
      </c>
      <c r="AI169" s="65"/>
      <c r="AJ169" s="65"/>
      <c r="AK169" s="46"/>
      <c r="AL169" s="66">
        <f>(Simulation!$D$13-(Simulation!$D$13*Simulation!$D$12))/2</f>
        <v>7.5</v>
      </c>
      <c r="AM169" s="47">
        <f t="shared" si="65"/>
        <v>104.625</v>
      </c>
      <c r="AN169" s="48">
        <f t="shared" si="64"/>
        <v>104.625</v>
      </c>
      <c r="AR169" s="49"/>
      <c r="AS169" s="67">
        <f>AS168</f>
        <v>0</v>
      </c>
      <c r="AT169" s="51"/>
      <c r="AU169" s="68">
        <f>Simulation!$D$13</f>
        <v>30</v>
      </c>
      <c r="AV169" s="53">
        <f>$AU$5</f>
        <v>30</v>
      </c>
      <c r="AW169" s="52">
        <f t="shared" si="66"/>
        <v>207.5</v>
      </c>
      <c r="AX169" s="48">
        <f t="shared" si="67"/>
        <v>0</v>
      </c>
      <c r="AY169" s="19"/>
    </row>
    <row r="170" spans="20:51" x14ac:dyDescent="0.2">
      <c r="T170" s="4"/>
      <c r="U170" s="82">
        <f t="shared" si="68"/>
        <v>112</v>
      </c>
      <c r="V170" s="130">
        <v>111.5</v>
      </c>
      <c r="W170" s="128">
        <v>61</v>
      </c>
      <c r="X170" s="4"/>
      <c r="Z170" s="63"/>
      <c r="AA170" s="63"/>
      <c r="AB170" s="46"/>
      <c r="AC170" s="46"/>
      <c r="AD170" s="47"/>
      <c r="AE170" s="98"/>
      <c r="AF170" s="62">
        <f>AF169+AI170</f>
        <v>58</v>
      </c>
      <c r="AG170" s="63"/>
      <c r="AH170" s="46"/>
      <c r="AI170" s="69">
        <f>IF(AJ170&gt;0,IF(Simulation!$C$10="Lithium",VLOOKUP(AJ170+$C$16,Tabella4[],3)-AF169,0),0)</f>
        <v>30</v>
      </c>
      <c r="AJ170" s="69">
        <f>IF(AF169&gt;7,VLOOKUP(AF169,Tabella44[],2),0)</f>
        <v>7</v>
      </c>
      <c r="AK170" s="46"/>
      <c r="AL170" s="70">
        <f>Simulation!$D$13*Simulation!$D$12</f>
        <v>15</v>
      </c>
      <c r="AM170" s="47">
        <f t="shared" si="65"/>
        <v>104.875</v>
      </c>
      <c r="AN170" s="48">
        <f t="shared" si="64"/>
        <v>104.875</v>
      </c>
      <c r="AR170" s="49">
        <v>84</v>
      </c>
      <c r="AS170" s="60">
        <f>IF(AS169&gt;7,AS169-AT170,0)</f>
        <v>0</v>
      </c>
      <c r="AT170" s="61">
        <f>MROUND($C$10*$C$13/60,2)</f>
        <v>30</v>
      </c>
      <c r="AU170" s="44"/>
      <c r="AV170" s="45">
        <f>$C$13</f>
        <v>120</v>
      </c>
      <c r="AW170" s="52">
        <f t="shared" si="66"/>
        <v>209.5</v>
      </c>
      <c r="AX170" s="48">
        <f t="shared" si="67"/>
        <v>0</v>
      </c>
      <c r="AY170" s="19"/>
    </row>
    <row r="171" spans="20:51" x14ac:dyDescent="0.2">
      <c r="T171" s="4"/>
      <c r="U171" s="82">
        <f t="shared" si="68"/>
        <v>114</v>
      </c>
      <c r="V171" s="129">
        <v>113</v>
      </c>
      <c r="W171" s="127">
        <f>(W170+W172)/2</f>
        <v>62</v>
      </c>
      <c r="X171" s="4"/>
      <c r="Z171" s="63"/>
      <c r="AA171" s="63"/>
      <c r="AB171" s="46"/>
      <c r="AC171" s="65"/>
      <c r="AD171" s="47"/>
      <c r="AE171" s="98"/>
      <c r="AF171" s="71">
        <f>AF170</f>
        <v>58</v>
      </c>
      <c r="AG171" s="72"/>
      <c r="AH171" s="73"/>
      <c r="AI171" s="74"/>
      <c r="AJ171" s="74"/>
      <c r="AK171" s="64">
        <f>$AL171</f>
        <v>7.5</v>
      </c>
      <c r="AL171" s="66">
        <f>(Simulation!$D$13-(Simulation!$D$13*Simulation!$D$12))/2</f>
        <v>7.5</v>
      </c>
      <c r="AM171" s="47">
        <f t="shared" si="65"/>
        <v>105</v>
      </c>
      <c r="AN171" s="48">
        <f t="shared" si="64"/>
        <v>105</v>
      </c>
      <c r="AR171" s="49"/>
      <c r="AS171" s="67">
        <f>AS170</f>
        <v>0</v>
      </c>
      <c r="AT171" s="51"/>
      <c r="AU171" s="68">
        <f>Simulation!$D$13</f>
        <v>30</v>
      </c>
      <c r="AV171" s="53">
        <f>$AU$5</f>
        <v>30</v>
      </c>
      <c r="AW171" s="52">
        <f t="shared" si="66"/>
        <v>210</v>
      </c>
      <c r="AX171" s="48">
        <f t="shared" si="67"/>
        <v>0</v>
      </c>
      <c r="AY171" s="19"/>
    </row>
    <row r="172" spans="20:51" x14ac:dyDescent="0.2">
      <c r="T172" s="4"/>
      <c r="U172" s="82">
        <f t="shared" si="68"/>
        <v>114</v>
      </c>
      <c r="V172" s="130">
        <v>114.5</v>
      </c>
      <c r="W172" s="128">
        <v>63</v>
      </c>
      <c r="X172" s="4"/>
      <c r="Z172" s="63"/>
      <c r="AA172" s="63"/>
      <c r="AB172" s="46"/>
      <c r="AC172" s="46"/>
      <c r="AD172" s="47"/>
      <c r="AE172" s="98">
        <v>44</v>
      </c>
      <c r="AF172" s="54">
        <f>IF(AF171&gt;7,AF171-AG172,0)</f>
        <v>28</v>
      </c>
      <c r="AG172" s="55">
        <f>MROUND($C$10*$C$13/60,2)</f>
        <v>30</v>
      </c>
      <c r="AH172" s="56"/>
      <c r="AI172" s="57"/>
      <c r="AJ172" s="57"/>
      <c r="AK172" s="58"/>
      <c r="AL172" s="59">
        <f>$C$13</f>
        <v>120</v>
      </c>
      <c r="AM172" s="47">
        <f t="shared" si="65"/>
        <v>107</v>
      </c>
      <c r="AN172" s="48">
        <f t="shared" si="64"/>
        <v>107</v>
      </c>
      <c r="AR172" s="49">
        <v>85</v>
      </c>
      <c r="AS172" s="60">
        <f>IF(AS171&gt;7,AS171-AT172,0)</f>
        <v>0</v>
      </c>
      <c r="AT172" s="61">
        <f>MROUND($C$10*$C$13/60,2)</f>
        <v>30</v>
      </c>
      <c r="AU172" s="44"/>
      <c r="AV172" s="45">
        <f>$C$13</f>
        <v>120</v>
      </c>
      <c r="AW172" s="52">
        <f t="shared" si="66"/>
        <v>212</v>
      </c>
      <c r="AX172" s="48">
        <f t="shared" si="67"/>
        <v>0</v>
      </c>
      <c r="AY172" s="19"/>
    </row>
    <row r="173" spans="20:51" x14ac:dyDescent="0.2">
      <c r="T173" s="4"/>
      <c r="U173" s="82">
        <f t="shared" si="68"/>
        <v>116</v>
      </c>
      <c r="V173" s="129">
        <v>116</v>
      </c>
      <c r="W173" s="127">
        <f>(W172+W174)/2</f>
        <v>64</v>
      </c>
      <c r="X173" s="4"/>
      <c r="Z173" s="108"/>
      <c r="AA173" s="108"/>
      <c r="AB173" s="109"/>
      <c r="AC173" s="107"/>
      <c r="AD173" s="109"/>
      <c r="AF173" s="62">
        <f>AF172</f>
        <v>28</v>
      </c>
      <c r="AG173" s="63"/>
      <c r="AH173" s="64">
        <f>$AL173</f>
        <v>7.5</v>
      </c>
      <c r="AI173" s="65"/>
      <c r="AJ173" s="65"/>
      <c r="AK173" s="46"/>
      <c r="AL173" s="66">
        <f>(Simulation!$D$13-(Simulation!$D$13*Simulation!$D$12))/2</f>
        <v>7.5</v>
      </c>
      <c r="AM173" s="47">
        <f t="shared" si="65"/>
        <v>107.125</v>
      </c>
      <c r="AN173" s="48">
        <f t="shared" si="64"/>
        <v>107.125</v>
      </c>
      <c r="AR173" s="49"/>
      <c r="AS173" s="67">
        <f>AS172</f>
        <v>0</v>
      </c>
      <c r="AT173" s="51"/>
      <c r="AU173" s="68">
        <f>Simulation!$D$13</f>
        <v>30</v>
      </c>
      <c r="AV173" s="53">
        <f>$AU$5</f>
        <v>30</v>
      </c>
      <c r="AW173" s="52">
        <f t="shared" si="66"/>
        <v>212.5</v>
      </c>
      <c r="AX173" s="48">
        <f t="shared" si="67"/>
        <v>0</v>
      </c>
      <c r="AY173" s="19"/>
    </row>
    <row r="174" spans="20:51" x14ac:dyDescent="0.2">
      <c r="T174" s="4"/>
      <c r="U174" s="82">
        <f t="shared" si="68"/>
        <v>118</v>
      </c>
      <c r="V174" s="130">
        <v>117</v>
      </c>
      <c r="W174" s="128">
        <v>65</v>
      </c>
      <c r="X174" s="4"/>
      <c r="Z174" s="108"/>
      <c r="AA174" s="108"/>
      <c r="AB174" s="109"/>
      <c r="AC174" s="107"/>
      <c r="AD174" s="109"/>
      <c r="AF174" s="62">
        <f>AF173+AI174</f>
        <v>58</v>
      </c>
      <c r="AG174" s="63"/>
      <c r="AH174" s="46"/>
      <c r="AI174" s="69">
        <f>IF(AJ174&gt;0,IF(Simulation!$C$10="Lithium",VLOOKUP(AJ174+$C$16,Tabella4[],3)-AF173,0),0)</f>
        <v>30</v>
      </c>
      <c r="AJ174" s="69">
        <f>IF(AF173&gt;7,VLOOKUP(AF173,Tabella44[],2),0)</f>
        <v>7</v>
      </c>
      <c r="AK174" s="46"/>
      <c r="AL174" s="70">
        <f>Simulation!$D$13*Simulation!$D$12</f>
        <v>15</v>
      </c>
      <c r="AM174" s="47">
        <f t="shared" si="65"/>
        <v>107.375</v>
      </c>
      <c r="AN174" s="48">
        <f t="shared" si="64"/>
        <v>107.375</v>
      </c>
      <c r="AR174" s="49">
        <v>86</v>
      </c>
      <c r="AS174" s="60">
        <f>IF(AS173&gt;7,AS173-AT174,0)</f>
        <v>0</v>
      </c>
      <c r="AT174" s="61">
        <f>MROUND($C$10*$C$13/60,2)</f>
        <v>30</v>
      </c>
      <c r="AU174" s="44"/>
      <c r="AV174" s="45">
        <f>$C$13</f>
        <v>120</v>
      </c>
      <c r="AW174" s="52">
        <f t="shared" si="66"/>
        <v>214.5</v>
      </c>
      <c r="AX174" s="48">
        <f t="shared" si="67"/>
        <v>0</v>
      </c>
      <c r="AY174" s="19"/>
    </row>
    <row r="175" spans="20:51" x14ac:dyDescent="0.2">
      <c r="T175" s="4"/>
      <c r="U175" s="82">
        <f t="shared" si="68"/>
        <v>118</v>
      </c>
      <c r="V175" s="129">
        <v>118</v>
      </c>
      <c r="W175" s="127">
        <f>(W174+W176)/2</f>
        <v>66</v>
      </c>
      <c r="X175" s="4"/>
      <c r="Z175" s="108"/>
      <c r="AA175" s="108"/>
      <c r="AB175" s="109"/>
      <c r="AC175" s="107"/>
      <c r="AD175" s="109"/>
      <c r="AF175" s="71">
        <f>AF174</f>
        <v>58</v>
      </c>
      <c r="AG175" s="72"/>
      <c r="AH175" s="73"/>
      <c r="AI175" s="74"/>
      <c r="AJ175" s="74"/>
      <c r="AK175" s="64">
        <f>$AL175</f>
        <v>7.5</v>
      </c>
      <c r="AL175" s="66">
        <f>(Simulation!$D$13-(Simulation!$D$13*Simulation!$D$12))/2</f>
        <v>7.5</v>
      </c>
      <c r="AM175" s="47">
        <f t="shared" si="65"/>
        <v>107.5</v>
      </c>
      <c r="AN175" s="48">
        <f t="shared" si="64"/>
        <v>107.5</v>
      </c>
      <c r="AR175" s="49"/>
      <c r="AS175" s="67">
        <f>AS174</f>
        <v>0</v>
      </c>
      <c r="AT175" s="51"/>
      <c r="AU175" s="68">
        <f>Simulation!$D$13</f>
        <v>30</v>
      </c>
      <c r="AV175" s="53">
        <f>$AU$5</f>
        <v>30</v>
      </c>
      <c r="AW175" s="52">
        <f t="shared" si="66"/>
        <v>215</v>
      </c>
      <c r="AX175" s="48">
        <f t="shared" si="67"/>
        <v>0</v>
      </c>
      <c r="AY175" s="19"/>
    </row>
    <row r="176" spans="20:51" x14ac:dyDescent="0.2">
      <c r="T176" s="4"/>
      <c r="U176" s="82">
        <f t="shared" si="68"/>
        <v>120</v>
      </c>
      <c r="V176" s="130">
        <v>119.5</v>
      </c>
      <c r="W176" s="128">
        <v>67</v>
      </c>
      <c r="X176" s="4"/>
      <c r="Z176" s="108"/>
      <c r="AA176" s="108"/>
      <c r="AB176" s="109"/>
      <c r="AC176" s="107"/>
      <c r="AD176" s="109"/>
      <c r="AE176" s="95">
        <v>45</v>
      </c>
      <c r="AF176" s="54">
        <f>IF(AF175&gt;7,AF175-AG176,0)</f>
        <v>28</v>
      </c>
      <c r="AG176" s="55">
        <f>MROUND($C$10*$C$13/60,2)</f>
        <v>30</v>
      </c>
      <c r="AH176" s="56"/>
      <c r="AI176" s="57"/>
      <c r="AJ176" s="57"/>
      <c r="AK176" s="58"/>
      <c r="AL176" s="59">
        <f>$C$13</f>
        <v>120</v>
      </c>
      <c r="AM176" s="47">
        <f t="shared" si="65"/>
        <v>109.5</v>
      </c>
      <c r="AN176" s="48">
        <f t="shared" si="64"/>
        <v>109.5</v>
      </c>
      <c r="AR176" s="49">
        <v>87</v>
      </c>
      <c r="AS176" s="60">
        <f>IF(AS175&gt;7,AS175-AT176,0)</f>
        <v>0</v>
      </c>
      <c r="AT176" s="61">
        <f>MROUND($C$10*$C$13/60,2)</f>
        <v>30</v>
      </c>
      <c r="AU176" s="44"/>
      <c r="AV176" s="45">
        <f>$C$13</f>
        <v>120</v>
      </c>
      <c r="AW176" s="52">
        <f t="shared" si="66"/>
        <v>217</v>
      </c>
      <c r="AX176" s="48">
        <f t="shared" si="67"/>
        <v>0</v>
      </c>
      <c r="AY176" s="19"/>
    </row>
    <row r="177" spans="19:51" x14ac:dyDescent="0.2">
      <c r="T177" s="4"/>
      <c r="U177" s="82">
        <f t="shared" ref="U177:U195" si="69">MROUND(V177,2)</f>
        <v>122</v>
      </c>
      <c r="V177" s="129">
        <v>121</v>
      </c>
      <c r="W177" s="127">
        <f>(W176+W178)/2</f>
        <v>68</v>
      </c>
      <c r="X177" s="4"/>
      <c r="Z177" s="108"/>
      <c r="AA177" s="108"/>
      <c r="AB177" s="109"/>
      <c r="AC177" s="107"/>
      <c r="AD177" s="109"/>
      <c r="AF177" s="62">
        <f>AF176</f>
        <v>28</v>
      </c>
      <c r="AG177" s="63"/>
      <c r="AH177" s="64">
        <f>$AL177</f>
        <v>7.5</v>
      </c>
      <c r="AI177" s="65"/>
      <c r="AJ177" s="65"/>
      <c r="AK177" s="46"/>
      <c r="AL177" s="66">
        <f>(Simulation!$D$13-(Simulation!$D$13*Simulation!$D$12))/2</f>
        <v>7.5</v>
      </c>
      <c r="AM177" s="47">
        <f t="shared" si="65"/>
        <v>109.625</v>
      </c>
      <c r="AN177" s="48">
        <f t="shared" si="64"/>
        <v>109.625</v>
      </c>
      <c r="AR177" s="49"/>
      <c r="AS177" s="67">
        <f>AS176</f>
        <v>0</v>
      </c>
      <c r="AT177" s="51"/>
      <c r="AU177" s="68">
        <f>Simulation!$D$13</f>
        <v>30</v>
      </c>
      <c r="AV177" s="53">
        <f>$AU$5</f>
        <v>30</v>
      </c>
      <c r="AW177" s="52">
        <f t="shared" si="66"/>
        <v>217.5</v>
      </c>
      <c r="AX177" s="48">
        <f t="shared" si="67"/>
        <v>0</v>
      </c>
      <c r="AY177" s="19"/>
    </row>
    <row r="178" spans="19:51" x14ac:dyDescent="0.2">
      <c r="T178" s="4"/>
      <c r="U178" s="82">
        <f t="shared" si="69"/>
        <v>122</v>
      </c>
      <c r="V178" s="130">
        <v>122.5</v>
      </c>
      <c r="W178" s="128">
        <v>69</v>
      </c>
      <c r="X178" s="4"/>
      <c r="Z178" s="108"/>
      <c r="AA178" s="108"/>
      <c r="AB178" s="109"/>
      <c r="AC178" s="107"/>
      <c r="AD178" s="109"/>
      <c r="AF178" s="62">
        <f>AF177+AI178</f>
        <v>58</v>
      </c>
      <c r="AG178" s="63"/>
      <c r="AH178" s="46"/>
      <c r="AI178" s="69">
        <f>IF(AJ178&gt;0,IF(Simulation!$C$10="Lithium",VLOOKUP(AJ178+$C$16,Tabella4[],3)-AF177,0),0)</f>
        <v>30</v>
      </c>
      <c r="AJ178" s="69">
        <f>IF(AF177&gt;7,VLOOKUP(AF177,Tabella44[],2),0)</f>
        <v>7</v>
      </c>
      <c r="AK178" s="46"/>
      <c r="AL178" s="70">
        <f>Simulation!$D$13*Simulation!$D$12</f>
        <v>15</v>
      </c>
      <c r="AM178" s="47">
        <f t="shared" si="65"/>
        <v>109.875</v>
      </c>
      <c r="AN178" s="48">
        <f t="shared" si="64"/>
        <v>109.875</v>
      </c>
      <c r="AR178" s="49">
        <v>88</v>
      </c>
      <c r="AS178" s="60">
        <f>IF(AS177&gt;7,AS177-AT178,0)</f>
        <v>0</v>
      </c>
      <c r="AT178" s="61">
        <f>MROUND($C$10*$C$13/60,2)</f>
        <v>30</v>
      </c>
      <c r="AU178" s="44"/>
      <c r="AV178" s="45">
        <f>$C$13</f>
        <v>120</v>
      </c>
      <c r="AW178" s="52">
        <f t="shared" si="66"/>
        <v>219.5</v>
      </c>
      <c r="AX178" s="48">
        <f t="shared" si="67"/>
        <v>0</v>
      </c>
      <c r="AY178" s="19"/>
    </row>
    <row r="179" spans="19:51" x14ac:dyDescent="0.2">
      <c r="T179" s="4"/>
      <c r="U179" s="82">
        <f t="shared" si="69"/>
        <v>124</v>
      </c>
      <c r="V179" s="129">
        <v>124</v>
      </c>
      <c r="W179" s="127">
        <f>(W178+W180)/2</f>
        <v>70</v>
      </c>
      <c r="X179" s="4"/>
      <c r="Z179" s="108"/>
      <c r="AA179" s="108"/>
      <c r="AB179" s="109"/>
      <c r="AC179" s="107"/>
      <c r="AD179" s="109"/>
      <c r="AF179" s="71">
        <f>AF178</f>
        <v>58</v>
      </c>
      <c r="AG179" s="72"/>
      <c r="AH179" s="73"/>
      <c r="AI179" s="74"/>
      <c r="AJ179" s="74"/>
      <c r="AK179" s="64">
        <f>$AL179</f>
        <v>7.5</v>
      </c>
      <c r="AL179" s="66">
        <f>(Simulation!$D$13-(Simulation!$D$13*Simulation!$D$12))/2</f>
        <v>7.5</v>
      </c>
      <c r="AM179" s="47">
        <f t="shared" si="65"/>
        <v>110</v>
      </c>
      <c r="AN179" s="48">
        <f t="shared" si="64"/>
        <v>110</v>
      </c>
      <c r="AR179" s="49"/>
      <c r="AS179" s="67">
        <f>AS178</f>
        <v>0</v>
      </c>
      <c r="AT179" s="51"/>
      <c r="AU179" s="68">
        <f>Simulation!$D$13</f>
        <v>30</v>
      </c>
      <c r="AV179" s="53">
        <f>$AU$5</f>
        <v>30</v>
      </c>
      <c r="AW179" s="52">
        <f t="shared" si="66"/>
        <v>220</v>
      </c>
      <c r="AX179" s="48">
        <f t="shared" si="67"/>
        <v>0</v>
      </c>
      <c r="AY179" s="19"/>
    </row>
    <row r="180" spans="19:51" x14ac:dyDescent="0.2">
      <c r="T180" s="4"/>
      <c r="U180" s="82">
        <f t="shared" si="69"/>
        <v>126</v>
      </c>
      <c r="V180" s="130">
        <v>125.5</v>
      </c>
      <c r="W180" s="128">
        <v>71</v>
      </c>
      <c r="X180" s="4"/>
      <c r="Z180" s="108"/>
      <c r="AA180" s="108"/>
      <c r="AB180" s="109"/>
      <c r="AC180" s="107"/>
      <c r="AD180" s="109"/>
      <c r="AE180" s="95">
        <v>46</v>
      </c>
      <c r="AF180" s="54">
        <f>IF(AF179&gt;7,AF179-AG180,0)</f>
        <v>28</v>
      </c>
      <c r="AG180" s="55">
        <f>MROUND($C$10*$C$13/60,2)</f>
        <v>30</v>
      </c>
      <c r="AH180" s="56"/>
      <c r="AI180" s="57"/>
      <c r="AJ180" s="57"/>
      <c r="AK180" s="58"/>
      <c r="AL180" s="59">
        <f>$C$13</f>
        <v>120</v>
      </c>
      <c r="AM180" s="47">
        <f t="shared" si="65"/>
        <v>112</v>
      </c>
      <c r="AN180" s="48">
        <f t="shared" si="64"/>
        <v>112</v>
      </c>
      <c r="AR180" s="49">
        <v>89</v>
      </c>
      <c r="AS180" s="60">
        <f>IF(AS179&gt;7,AS179-AT180,0)</f>
        <v>0</v>
      </c>
      <c r="AT180" s="61">
        <f>MROUND($C$10*$C$13/60,2)</f>
        <v>30</v>
      </c>
      <c r="AU180" s="44"/>
      <c r="AV180" s="45">
        <f>$C$13</f>
        <v>120</v>
      </c>
      <c r="AW180" s="52">
        <f t="shared" si="66"/>
        <v>222</v>
      </c>
      <c r="AX180" s="48">
        <f t="shared" si="67"/>
        <v>0</v>
      </c>
      <c r="AY180" s="19"/>
    </row>
    <row r="181" spans="19:51" x14ac:dyDescent="0.2">
      <c r="T181"/>
      <c r="U181" s="82">
        <f t="shared" si="69"/>
        <v>128</v>
      </c>
      <c r="V181" s="129">
        <v>127</v>
      </c>
      <c r="W181" s="127">
        <f>(W180+W182)/2</f>
        <v>72</v>
      </c>
      <c r="X181"/>
      <c r="Z181" s="108"/>
      <c r="AA181" s="108"/>
      <c r="AB181" s="109"/>
      <c r="AC181" s="107"/>
      <c r="AD181" s="109"/>
      <c r="AF181" s="62">
        <f>AF180</f>
        <v>28</v>
      </c>
      <c r="AG181" s="63"/>
      <c r="AH181" s="64">
        <f>$AL181</f>
        <v>7.5</v>
      </c>
      <c r="AI181" s="65"/>
      <c r="AJ181" s="65"/>
      <c r="AK181" s="46"/>
      <c r="AL181" s="66">
        <f>(Simulation!$D$13-(Simulation!$D$13*Simulation!$D$12))/2</f>
        <v>7.5</v>
      </c>
      <c r="AM181" s="47">
        <f t="shared" si="65"/>
        <v>112.125</v>
      </c>
      <c r="AN181" s="48">
        <f t="shared" ref="AN181:AN227" si="70">IF(AF181&gt;0,1*AM181,0)</f>
        <v>112.125</v>
      </c>
      <c r="AR181" s="49"/>
      <c r="AS181" s="67">
        <f>AS180</f>
        <v>0</v>
      </c>
      <c r="AT181" s="51"/>
      <c r="AU181" s="68">
        <f>Simulation!$D$13</f>
        <v>30</v>
      </c>
      <c r="AV181" s="53">
        <f>$AU$5</f>
        <v>30</v>
      </c>
      <c r="AW181" s="52">
        <f t="shared" si="66"/>
        <v>222.5</v>
      </c>
      <c r="AX181" s="48">
        <f t="shared" si="67"/>
        <v>0</v>
      </c>
      <c r="AY181" s="19"/>
    </row>
    <row r="182" spans="19:51" x14ac:dyDescent="0.2">
      <c r="S182"/>
      <c r="T182"/>
      <c r="U182" s="82">
        <f t="shared" si="69"/>
        <v>128</v>
      </c>
      <c r="V182" s="130">
        <v>128</v>
      </c>
      <c r="W182" s="128">
        <v>73</v>
      </c>
      <c r="X182"/>
      <c r="Z182" s="108"/>
      <c r="AA182" s="108"/>
      <c r="AB182" s="109"/>
      <c r="AC182" s="107"/>
      <c r="AD182" s="109"/>
      <c r="AF182" s="62">
        <f>AF181+AI182</f>
        <v>58</v>
      </c>
      <c r="AG182" s="63"/>
      <c r="AH182" s="46"/>
      <c r="AI182" s="69">
        <f>IF(AJ182&gt;0,IF(Simulation!$C$10="Lithium",VLOOKUP(AJ182+$C$16,Tabella4[],3)-AF181,0),0)</f>
        <v>30</v>
      </c>
      <c r="AJ182" s="69">
        <f>IF(AF181&gt;7,VLOOKUP(AF181,Tabella44[],2),0)</f>
        <v>7</v>
      </c>
      <c r="AK182" s="46"/>
      <c r="AL182" s="70">
        <f>Simulation!$D$13*Simulation!$D$12</f>
        <v>15</v>
      </c>
      <c r="AM182" s="47">
        <f t="shared" si="65"/>
        <v>112.375</v>
      </c>
      <c r="AN182" s="48">
        <f t="shared" si="70"/>
        <v>112.375</v>
      </c>
      <c r="AR182" s="49">
        <v>90</v>
      </c>
      <c r="AS182" s="60">
        <f>IF(AS181&gt;7,AS181-AT182,0)</f>
        <v>0</v>
      </c>
      <c r="AT182" s="61">
        <f>MROUND($C$10*$C$13/60,2)</f>
        <v>30</v>
      </c>
      <c r="AU182" s="44"/>
      <c r="AV182" s="45">
        <f>$C$13</f>
        <v>120</v>
      </c>
      <c r="AW182" s="52">
        <f t="shared" si="66"/>
        <v>224.5</v>
      </c>
      <c r="AX182" s="48">
        <f t="shared" si="67"/>
        <v>0</v>
      </c>
      <c r="AY182" s="19"/>
    </row>
    <row r="183" spans="19:51" x14ac:dyDescent="0.2">
      <c r="S183"/>
      <c r="T183"/>
      <c r="U183" s="82">
        <f t="shared" si="69"/>
        <v>130</v>
      </c>
      <c r="V183" s="129">
        <v>129</v>
      </c>
      <c r="W183" s="127">
        <f>(W182+W184)/2</f>
        <v>74</v>
      </c>
      <c r="X183"/>
      <c r="Z183" s="108"/>
      <c r="AA183" s="108"/>
      <c r="AB183" s="109"/>
      <c r="AC183" s="107"/>
      <c r="AD183" s="109"/>
      <c r="AF183" s="71">
        <f>AF182</f>
        <v>58</v>
      </c>
      <c r="AG183" s="72"/>
      <c r="AH183" s="73"/>
      <c r="AI183" s="74"/>
      <c r="AJ183" s="74"/>
      <c r="AK183" s="64">
        <f>$AL183</f>
        <v>7.5</v>
      </c>
      <c r="AL183" s="66">
        <f>(Simulation!$D$13-(Simulation!$D$13*Simulation!$D$12))/2</f>
        <v>7.5</v>
      </c>
      <c r="AM183" s="47">
        <f t="shared" si="65"/>
        <v>112.5</v>
      </c>
      <c r="AN183" s="48">
        <f t="shared" si="70"/>
        <v>112.5</v>
      </c>
      <c r="AR183" s="49"/>
      <c r="AS183" s="67">
        <f>AS182</f>
        <v>0</v>
      </c>
      <c r="AT183" s="51"/>
      <c r="AU183" s="68">
        <f>Simulation!$D$13</f>
        <v>30</v>
      </c>
      <c r="AV183" s="53">
        <f>$AU$5</f>
        <v>30</v>
      </c>
      <c r="AW183" s="52">
        <f t="shared" si="66"/>
        <v>225</v>
      </c>
      <c r="AX183" s="48">
        <f t="shared" si="67"/>
        <v>0</v>
      </c>
      <c r="AY183" s="19"/>
    </row>
    <row r="184" spans="19:51" x14ac:dyDescent="0.2">
      <c r="S184"/>
      <c r="T184"/>
      <c r="U184" s="82">
        <f t="shared" si="69"/>
        <v>130</v>
      </c>
      <c r="V184" s="130">
        <v>130.5</v>
      </c>
      <c r="W184" s="128">
        <v>75</v>
      </c>
      <c r="X184"/>
      <c r="Y184"/>
      <c r="Z184" s="108"/>
      <c r="AA184" s="108"/>
      <c r="AB184" s="109"/>
      <c r="AC184" s="107"/>
      <c r="AD184" s="109"/>
      <c r="AE184" s="95">
        <v>47</v>
      </c>
      <c r="AF184" s="54">
        <f>IF(AF183&gt;7,AF183-AG184,0)</f>
        <v>28</v>
      </c>
      <c r="AG184" s="55">
        <f>MROUND($C$10*$C$13/60,2)</f>
        <v>30</v>
      </c>
      <c r="AH184" s="56"/>
      <c r="AI184" s="57"/>
      <c r="AJ184" s="57"/>
      <c r="AK184" s="58"/>
      <c r="AL184" s="59">
        <f>$C$13</f>
        <v>120</v>
      </c>
      <c r="AM184" s="47">
        <f t="shared" si="65"/>
        <v>114.5</v>
      </c>
      <c r="AN184" s="48">
        <f t="shared" si="70"/>
        <v>114.5</v>
      </c>
      <c r="AR184" s="49">
        <v>91</v>
      </c>
      <c r="AS184" s="60">
        <f>IF(AS183&gt;7,AS183-AT184,0)</f>
        <v>0</v>
      </c>
      <c r="AT184" s="61">
        <f>MROUND($C$10*$C$13/60,2)</f>
        <v>30</v>
      </c>
      <c r="AU184" s="44"/>
      <c r="AV184" s="45">
        <f>$C$13</f>
        <v>120</v>
      </c>
      <c r="AW184" s="52">
        <f t="shared" si="66"/>
        <v>227</v>
      </c>
      <c r="AX184" s="48">
        <f t="shared" si="67"/>
        <v>0</v>
      </c>
      <c r="AY184" s="19"/>
    </row>
    <row r="185" spans="19:51" x14ac:dyDescent="0.2">
      <c r="U185" s="82">
        <f t="shared" si="69"/>
        <v>132</v>
      </c>
      <c r="V185" s="129">
        <v>132</v>
      </c>
      <c r="W185" s="127">
        <f>(W184+W186)/2</f>
        <v>76</v>
      </c>
      <c r="Y185" s="107"/>
      <c r="Z185" s="108"/>
      <c r="AA185" s="108"/>
      <c r="AB185" s="109"/>
      <c r="AC185" s="107"/>
      <c r="AD185" s="109"/>
      <c r="AF185" s="62">
        <f>AF184</f>
        <v>28</v>
      </c>
      <c r="AG185" s="63"/>
      <c r="AH185" s="64">
        <f>$AL185</f>
        <v>7.5</v>
      </c>
      <c r="AI185" s="65"/>
      <c r="AJ185" s="65"/>
      <c r="AK185" s="46"/>
      <c r="AL185" s="66">
        <f>(Simulation!$D$13-(Simulation!$D$13*Simulation!$D$12))/2</f>
        <v>7.5</v>
      </c>
      <c r="AM185" s="47">
        <f t="shared" si="65"/>
        <v>114.625</v>
      </c>
      <c r="AN185" s="48">
        <f t="shared" si="70"/>
        <v>114.625</v>
      </c>
      <c r="AR185" s="49"/>
      <c r="AS185" s="67">
        <f>AS184</f>
        <v>0</v>
      </c>
      <c r="AT185" s="51"/>
      <c r="AU185" s="68">
        <f>Simulation!$D$13</f>
        <v>30</v>
      </c>
      <c r="AV185" s="53">
        <f>$AU$5</f>
        <v>30</v>
      </c>
      <c r="AW185" s="52">
        <f t="shared" si="66"/>
        <v>227.5</v>
      </c>
      <c r="AX185" s="48">
        <f t="shared" si="67"/>
        <v>0</v>
      </c>
      <c r="AY185" s="19"/>
    </row>
    <row r="186" spans="19:51" x14ac:dyDescent="0.2">
      <c r="U186" s="82">
        <f t="shared" si="69"/>
        <v>134</v>
      </c>
      <c r="V186" s="130">
        <v>133</v>
      </c>
      <c r="W186" s="128">
        <v>77</v>
      </c>
      <c r="Y186" s="107"/>
      <c r="Z186" s="108"/>
      <c r="AA186" s="108"/>
      <c r="AB186" s="109"/>
      <c r="AC186" s="107"/>
      <c r="AD186" s="109"/>
      <c r="AF186" s="62">
        <f>AF185+AI186</f>
        <v>58</v>
      </c>
      <c r="AG186" s="63"/>
      <c r="AH186" s="46"/>
      <c r="AI186" s="69">
        <f>IF(AJ186&gt;0,IF(Simulation!$C$10="Lithium",VLOOKUP(AJ186+$C$16,Tabella4[],3)-AF185,0),0)</f>
        <v>30</v>
      </c>
      <c r="AJ186" s="69">
        <f>IF(AF185&gt;7,VLOOKUP(AF185,Tabella44[],2),0)</f>
        <v>7</v>
      </c>
      <c r="AK186" s="46"/>
      <c r="AL186" s="70">
        <f>Simulation!$D$13*Simulation!$D$12</f>
        <v>15</v>
      </c>
      <c r="AM186" s="47">
        <f t="shared" si="65"/>
        <v>114.875</v>
      </c>
      <c r="AN186" s="48">
        <f t="shared" si="70"/>
        <v>114.875</v>
      </c>
      <c r="AR186" s="49">
        <v>92</v>
      </c>
      <c r="AS186" s="60">
        <f>IF(AS185&gt;7,AS185-AT186,0)</f>
        <v>0</v>
      </c>
      <c r="AT186" s="61">
        <f>MROUND($C$10*$C$13/60,2)</f>
        <v>30</v>
      </c>
      <c r="AU186" s="44"/>
      <c r="AV186" s="45">
        <f>$C$13</f>
        <v>120</v>
      </c>
      <c r="AW186" s="52">
        <f t="shared" si="66"/>
        <v>229.5</v>
      </c>
      <c r="AX186" s="48">
        <f t="shared" si="67"/>
        <v>0</v>
      </c>
      <c r="AY186" s="19"/>
    </row>
    <row r="187" spans="19:51" x14ac:dyDescent="0.2">
      <c r="U187" s="82">
        <f t="shared" si="69"/>
        <v>134</v>
      </c>
      <c r="V187" s="129">
        <v>134</v>
      </c>
      <c r="W187" s="127">
        <f>(W186+W188)/2</f>
        <v>78</v>
      </c>
      <c r="Y187" s="107"/>
      <c r="Z187" s="108"/>
      <c r="AA187" s="108"/>
      <c r="AB187" s="109"/>
      <c r="AC187" s="107"/>
      <c r="AD187" s="109"/>
      <c r="AF187" s="71">
        <f>AF186</f>
        <v>58</v>
      </c>
      <c r="AG187" s="72"/>
      <c r="AH187" s="73"/>
      <c r="AI187" s="74"/>
      <c r="AJ187" s="74"/>
      <c r="AK187" s="64">
        <f>$AL187</f>
        <v>7.5</v>
      </c>
      <c r="AL187" s="66">
        <f>(Simulation!$D$13-(Simulation!$D$13*Simulation!$D$12))/2</f>
        <v>7.5</v>
      </c>
      <c r="AM187" s="47">
        <f t="shared" si="65"/>
        <v>115</v>
      </c>
      <c r="AN187" s="48">
        <f t="shared" si="70"/>
        <v>115</v>
      </c>
      <c r="AR187" s="49"/>
      <c r="AS187" s="67">
        <f>AS186</f>
        <v>0</v>
      </c>
      <c r="AT187" s="51"/>
      <c r="AU187" s="68">
        <f>Simulation!$D$13</f>
        <v>30</v>
      </c>
      <c r="AV187" s="53">
        <f>$AU$5</f>
        <v>30</v>
      </c>
      <c r="AW187" s="52">
        <f t="shared" si="66"/>
        <v>230</v>
      </c>
      <c r="AX187" s="48">
        <f t="shared" si="67"/>
        <v>0</v>
      </c>
      <c r="AY187" s="19"/>
    </row>
    <row r="188" spans="19:51" x14ac:dyDescent="0.2">
      <c r="U188" s="82">
        <f t="shared" si="69"/>
        <v>136</v>
      </c>
      <c r="V188" s="130">
        <v>135</v>
      </c>
      <c r="W188" s="128">
        <v>79</v>
      </c>
      <c r="Y188" s="107"/>
      <c r="Z188" s="108"/>
      <c r="AA188" s="108"/>
      <c r="AB188" s="109"/>
      <c r="AC188" s="107"/>
      <c r="AD188" s="109"/>
      <c r="AE188" s="95">
        <v>48</v>
      </c>
      <c r="AF188" s="54">
        <f>IF(AF187&gt;7,AF187-AG188,0)</f>
        <v>28</v>
      </c>
      <c r="AG188" s="55">
        <f>MROUND($C$10*$C$13/60,2)</f>
        <v>30</v>
      </c>
      <c r="AH188" s="56"/>
      <c r="AI188" s="57"/>
      <c r="AJ188" s="57"/>
      <c r="AK188" s="58"/>
      <c r="AL188" s="59">
        <f>$C$13</f>
        <v>120</v>
      </c>
      <c r="AM188" s="47">
        <f t="shared" si="65"/>
        <v>117</v>
      </c>
      <c r="AN188" s="48">
        <f t="shared" si="70"/>
        <v>117</v>
      </c>
      <c r="AR188" s="49">
        <v>93</v>
      </c>
      <c r="AS188" s="60">
        <f>IF(AS187&gt;7,AS187-AT188,0)</f>
        <v>0</v>
      </c>
      <c r="AT188" s="61">
        <f>MROUND($C$10*$C$13/60,2)</f>
        <v>30</v>
      </c>
      <c r="AU188" s="44"/>
      <c r="AV188" s="45">
        <f>$C$13</f>
        <v>120</v>
      </c>
      <c r="AW188" s="52">
        <f t="shared" si="66"/>
        <v>232</v>
      </c>
      <c r="AX188" s="48">
        <f t="shared" si="67"/>
        <v>0</v>
      </c>
      <c r="AY188" s="19"/>
    </row>
    <row r="189" spans="19:51" x14ac:dyDescent="0.2">
      <c r="U189" s="82">
        <f t="shared" si="69"/>
        <v>136</v>
      </c>
      <c r="V189" s="129">
        <v>136</v>
      </c>
      <c r="W189" s="127">
        <f>(W188+W190)/2</f>
        <v>80</v>
      </c>
      <c r="Y189" s="107"/>
      <c r="Z189" s="108"/>
      <c r="AA189" s="108"/>
      <c r="AB189" s="109"/>
      <c r="AC189" s="107"/>
      <c r="AD189" s="109"/>
      <c r="AF189" s="62">
        <f>AF188</f>
        <v>28</v>
      </c>
      <c r="AG189" s="63"/>
      <c r="AH189" s="64">
        <f>$AL189</f>
        <v>7.5</v>
      </c>
      <c r="AI189" s="65"/>
      <c r="AJ189" s="65"/>
      <c r="AK189" s="46"/>
      <c r="AL189" s="66">
        <f>(Simulation!$D$13-(Simulation!$D$13*Simulation!$D$12))/2</f>
        <v>7.5</v>
      </c>
      <c r="AM189" s="47">
        <f t="shared" si="65"/>
        <v>117.125</v>
      </c>
      <c r="AN189" s="48">
        <f t="shared" si="70"/>
        <v>117.125</v>
      </c>
      <c r="AR189" s="49"/>
      <c r="AS189" s="67">
        <f>AS188</f>
        <v>0</v>
      </c>
      <c r="AT189" s="51"/>
      <c r="AU189" s="68">
        <f>Simulation!$D$13</f>
        <v>30</v>
      </c>
      <c r="AV189" s="53">
        <f>$AU$5</f>
        <v>30</v>
      </c>
      <c r="AW189" s="52">
        <f t="shared" si="66"/>
        <v>232.5</v>
      </c>
      <c r="AX189" s="48">
        <f t="shared" si="67"/>
        <v>0</v>
      </c>
      <c r="AY189" s="19"/>
    </row>
    <row r="190" spans="19:51" x14ac:dyDescent="0.2">
      <c r="U190" s="82">
        <f t="shared" si="69"/>
        <v>138</v>
      </c>
      <c r="V190" s="130">
        <v>137</v>
      </c>
      <c r="W190" s="128">
        <v>81</v>
      </c>
      <c r="Y190" s="107"/>
      <c r="Z190" s="108"/>
      <c r="AA190" s="108"/>
      <c r="AB190" s="109"/>
      <c r="AC190" s="107"/>
      <c r="AD190" s="109"/>
      <c r="AF190" s="62">
        <f>AF189+AI190</f>
        <v>58</v>
      </c>
      <c r="AG190" s="63"/>
      <c r="AH190" s="46"/>
      <c r="AI190" s="69">
        <f>IF(AJ190&gt;0,IF(Simulation!$C$10="Lithium",VLOOKUP(AJ190+$C$16,Tabella4[],3)-AF189,0),0)</f>
        <v>30</v>
      </c>
      <c r="AJ190" s="69">
        <f>IF(AF189&gt;7,VLOOKUP(AF189,Tabella44[],2),0)</f>
        <v>7</v>
      </c>
      <c r="AK190" s="46"/>
      <c r="AL190" s="70">
        <f>Simulation!$D$13*Simulation!$D$12</f>
        <v>15</v>
      </c>
      <c r="AM190" s="47">
        <f t="shared" si="65"/>
        <v>117.375</v>
      </c>
      <c r="AN190" s="48">
        <f t="shared" si="70"/>
        <v>117.375</v>
      </c>
      <c r="AR190" s="49">
        <v>94</v>
      </c>
      <c r="AS190" s="60">
        <f>IF(AS189&gt;7,AS189-AT190,0)</f>
        <v>0</v>
      </c>
      <c r="AT190" s="61">
        <f>MROUND($C$10*$C$13/60,2)</f>
        <v>30</v>
      </c>
      <c r="AU190" s="44"/>
      <c r="AV190" s="45">
        <f>$C$13</f>
        <v>120</v>
      </c>
      <c r="AW190" s="52">
        <f t="shared" si="66"/>
        <v>234.5</v>
      </c>
      <c r="AX190" s="48">
        <f t="shared" si="67"/>
        <v>0</v>
      </c>
      <c r="AY190" s="19"/>
    </row>
    <row r="191" spans="19:51" x14ac:dyDescent="0.2">
      <c r="U191" s="82">
        <f t="shared" si="69"/>
        <v>138</v>
      </c>
      <c r="V191" s="129">
        <v>138</v>
      </c>
      <c r="W191" s="127">
        <v>82</v>
      </c>
      <c r="Y191" s="107"/>
      <c r="Z191" s="108"/>
      <c r="AA191" s="108"/>
      <c r="AB191" s="109"/>
      <c r="AC191" s="107"/>
      <c r="AD191" s="109"/>
      <c r="AF191" s="71">
        <f>AF190</f>
        <v>58</v>
      </c>
      <c r="AG191" s="72"/>
      <c r="AH191" s="73"/>
      <c r="AI191" s="74"/>
      <c r="AJ191" s="74"/>
      <c r="AK191" s="64">
        <f>$AL191</f>
        <v>7.5</v>
      </c>
      <c r="AL191" s="66">
        <f>(Simulation!$D$13-(Simulation!$D$13*Simulation!$D$12))/2</f>
        <v>7.5</v>
      </c>
      <c r="AM191" s="47">
        <f t="shared" si="65"/>
        <v>117.5</v>
      </c>
      <c r="AN191" s="48">
        <f t="shared" si="70"/>
        <v>117.5</v>
      </c>
      <c r="AR191" s="49"/>
      <c r="AS191" s="67">
        <f>AS190</f>
        <v>0</v>
      </c>
      <c r="AT191" s="51"/>
      <c r="AU191" s="68">
        <f>Simulation!$D$13</f>
        <v>30</v>
      </c>
      <c r="AV191" s="53">
        <f>$AU$5</f>
        <v>30</v>
      </c>
      <c r="AW191" s="52">
        <f t="shared" si="66"/>
        <v>235</v>
      </c>
      <c r="AX191" s="48">
        <f t="shared" si="67"/>
        <v>0</v>
      </c>
      <c r="AY191" s="19"/>
    </row>
    <row r="192" spans="19:51" x14ac:dyDescent="0.2">
      <c r="U192" s="82">
        <f t="shared" si="69"/>
        <v>138</v>
      </c>
      <c r="V192" s="130">
        <v>138.5</v>
      </c>
      <c r="W192" s="127">
        <v>83</v>
      </c>
      <c r="Y192" s="107"/>
      <c r="Z192" s="108"/>
      <c r="AA192" s="108"/>
      <c r="AB192" s="109"/>
      <c r="AC192" s="107"/>
      <c r="AD192" s="109"/>
      <c r="AE192" s="95">
        <v>49</v>
      </c>
      <c r="AF192" s="54">
        <f>IF(AF191&gt;7,AF191-AG192,0)</f>
        <v>28</v>
      </c>
      <c r="AG192" s="55">
        <f>MROUND($C$10*$C$13/60,2)</f>
        <v>30</v>
      </c>
      <c r="AH192" s="56"/>
      <c r="AI192" s="57"/>
      <c r="AJ192" s="57"/>
      <c r="AK192" s="58"/>
      <c r="AL192" s="59">
        <f>$C$13</f>
        <v>120</v>
      </c>
      <c r="AM192" s="47">
        <f t="shared" si="65"/>
        <v>119.5</v>
      </c>
      <c r="AN192" s="48">
        <f t="shared" si="70"/>
        <v>119.5</v>
      </c>
      <c r="AR192" s="49">
        <v>95</v>
      </c>
      <c r="AS192" s="60">
        <f>IF(AS191&gt;7,AS191-AT192,0)</f>
        <v>0</v>
      </c>
      <c r="AT192" s="61">
        <f>MROUND($C$10*$C$13/60,2)</f>
        <v>30</v>
      </c>
      <c r="AU192" s="44"/>
      <c r="AV192" s="45">
        <f>$C$13</f>
        <v>120</v>
      </c>
      <c r="AW192" s="52">
        <f t="shared" si="66"/>
        <v>237</v>
      </c>
      <c r="AX192" s="48">
        <f t="shared" si="67"/>
        <v>0</v>
      </c>
      <c r="AY192" s="19"/>
    </row>
    <row r="193" spans="21:51" x14ac:dyDescent="0.2">
      <c r="U193" s="82">
        <f t="shared" si="69"/>
        <v>140</v>
      </c>
      <c r="V193" s="129">
        <v>139</v>
      </c>
      <c r="W193" s="127">
        <v>84</v>
      </c>
      <c r="Y193" s="107"/>
      <c r="Z193" s="108"/>
      <c r="AA193" s="108"/>
      <c r="AB193" s="109"/>
      <c r="AC193" s="107"/>
      <c r="AD193" s="109"/>
      <c r="AF193" s="62">
        <f>AF192</f>
        <v>28</v>
      </c>
      <c r="AG193" s="63"/>
      <c r="AH193" s="64">
        <f>$AL193</f>
        <v>7.5</v>
      </c>
      <c r="AI193" s="65"/>
      <c r="AJ193" s="65"/>
      <c r="AK193" s="46"/>
      <c r="AL193" s="66">
        <f>(Simulation!$D$13-(Simulation!$D$13*Simulation!$D$12))/2</f>
        <v>7.5</v>
      </c>
      <c r="AM193" s="47">
        <f t="shared" si="65"/>
        <v>119.625</v>
      </c>
      <c r="AN193" s="48">
        <f t="shared" si="70"/>
        <v>119.625</v>
      </c>
      <c r="AR193" s="49"/>
      <c r="AS193" s="67">
        <f>AS192</f>
        <v>0</v>
      </c>
      <c r="AT193" s="51"/>
      <c r="AU193" s="68">
        <f>Simulation!$D$13</f>
        <v>30</v>
      </c>
      <c r="AV193" s="53">
        <f>$AU$5</f>
        <v>30</v>
      </c>
      <c r="AW193" s="52">
        <f t="shared" si="66"/>
        <v>237.5</v>
      </c>
      <c r="AX193" s="48">
        <f t="shared" si="67"/>
        <v>0</v>
      </c>
      <c r="AY193" s="19"/>
    </row>
    <row r="194" spans="21:51" x14ac:dyDescent="0.2">
      <c r="U194" s="82">
        <f t="shared" si="69"/>
        <v>140</v>
      </c>
      <c r="V194" s="130">
        <v>139.5</v>
      </c>
      <c r="W194" s="127">
        <v>85</v>
      </c>
      <c r="Y194" s="107"/>
      <c r="Z194" s="108"/>
      <c r="AA194" s="108"/>
      <c r="AB194" s="109"/>
      <c r="AC194" s="107"/>
      <c r="AD194" s="109"/>
      <c r="AF194" s="62">
        <f>AF193+AI194</f>
        <v>58</v>
      </c>
      <c r="AG194" s="63"/>
      <c r="AH194" s="46"/>
      <c r="AI194" s="69">
        <f>IF(AJ194&gt;0,IF(Simulation!$C$10="Lithium",VLOOKUP(AJ194+$C$16,Tabella4[],3)-AF193,0),0)</f>
        <v>30</v>
      </c>
      <c r="AJ194" s="69">
        <f>IF(AF193&gt;7,VLOOKUP(AF193,Tabella44[],2),0)</f>
        <v>7</v>
      </c>
      <c r="AK194" s="46"/>
      <c r="AL194" s="70">
        <f>Simulation!$D$13*Simulation!$D$12</f>
        <v>15</v>
      </c>
      <c r="AM194" s="47">
        <f t="shared" si="65"/>
        <v>119.875</v>
      </c>
      <c r="AN194" s="48">
        <f t="shared" si="70"/>
        <v>119.875</v>
      </c>
      <c r="AR194" s="49">
        <v>96</v>
      </c>
      <c r="AS194" s="60">
        <f>IF(AS193&gt;7,AS193-AT194,0)</f>
        <v>0</v>
      </c>
      <c r="AT194" s="61">
        <f>MROUND($C$10*$C$13/60,2)</f>
        <v>30</v>
      </c>
      <c r="AU194" s="44"/>
      <c r="AV194" s="45">
        <f>$C$13</f>
        <v>120</v>
      </c>
      <c r="AW194" s="52">
        <f t="shared" si="66"/>
        <v>239.5</v>
      </c>
      <c r="AX194" s="48">
        <f t="shared" si="67"/>
        <v>0</v>
      </c>
      <c r="AY194" s="19"/>
    </row>
    <row r="195" spans="21:51" x14ac:dyDescent="0.2">
      <c r="U195" s="82">
        <f t="shared" si="69"/>
        <v>140</v>
      </c>
      <c r="V195" s="129">
        <v>140</v>
      </c>
      <c r="W195" s="127">
        <v>86</v>
      </c>
      <c r="AF195" s="71">
        <f>AF194</f>
        <v>58</v>
      </c>
      <c r="AG195" s="72"/>
      <c r="AH195" s="73"/>
      <c r="AI195" s="74"/>
      <c r="AJ195" s="74"/>
      <c r="AK195" s="64">
        <f>$AL195</f>
        <v>7.5</v>
      </c>
      <c r="AL195" s="66">
        <f>(Simulation!$D$13-(Simulation!$D$13*Simulation!$D$12))/2</f>
        <v>7.5</v>
      </c>
      <c r="AM195" s="47">
        <f t="shared" si="65"/>
        <v>120</v>
      </c>
      <c r="AN195" s="48">
        <f t="shared" si="70"/>
        <v>120</v>
      </c>
      <c r="AR195" s="49"/>
      <c r="AS195" s="67">
        <f>AS194</f>
        <v>0</v>
      </c>
      <c r="AT195" s="51"/>
      <c r="AU195" s="68">
        <f>Simulation!$D$13</f>
        <v>30</v>
      </c>
      <c r="AV195" s="53">
        <f>$AU$5</f>
        <v>30</v>
      </c>
      <c r="AW195" s="52">
        <f t="shared" si="66"/>
        <v>240</v>
      </c>
      <c r="AX195" s="48">
        <f t="shared" si="67"/>
        <v>0</v>
      </c>
      <c r="AY195" s="19"/>
    </row>
    <row r="196" spans="21:51" ht="15" x14ac:dyDescent="0.2">
      <c r="U196" s="4"/>
      <c r="V196" s="126"/>
      <c r="W196" s="126"/>
      <c r="AE196" s="95">
        <v>50</v>
      </c>
      <c r="AF196" s="54">
        <f>IF(AF195&gt;7,AF195-AG196,0)</f>
        <v>28</v>
      </c>
      <c r="AG196" s="55">
        <f>MROUND($C$10*$C$13/60,2)</f>
        <v>30</v>
      </c>
      <c r="AH196" s="56"/>
      <c r="AI196" s="57"/>
      <c r="AJ196" s="57"/>
      <c r="AK196" s="58"/>
      <c r="AL196" s="59">
        <f>$C$13</f>
        <v>120</v>
      </c>
      <c r="AM196" s="47">
        <f t="shared" si="65"/>
        <v>122</v>
      </c>
      <c r="AN196" s="48">
        <f t="shared" si="70"/>
        <v>122</v>
      </c>
      <c r="AR196" s="49">
        <v>97</v>
      </c>
      <c r="AS196" s="60">
        <f>IF(AS195&gt;7,AS195-AT196,0)</f>
        <v>0</v>
      </c>
      <c r="AT196" s="61">
        <f>MROUND($C$10*$C$13/60,2)</f>
        <v>30</v>
      </c>
      <c r="AU196" s="44"/>
      <c r="AV196" s="45">
        <f>$C$13</f>
        <v>120</v>
      </c>
      <c r="AW196" s="52">
        <f t="shared" si="66"/>
        <v>242</v>
      </c>
      <c r="AX196" s="48">
        <f t="shared" si="67"/>
        <v>0</v>
      </c>
      <c r="AY196" s="19"/>
    </row>
    <row r="197" spans="21:51" ht="15" x14ac:dyDescent="0.2">
      <c r="U197" s="4"/>
      <c r="V197" s="126"/>
      <c r="W197" s="126"/>
      <c r="AF197" s="62">
        <f>AF196</f>
        <v>28</v>
      </c>
      <c r="AG197" s="63"/>
      <c r="AH197" s="64">
        <f>$AL197</f>
        <v>7.5</v>
      </c>
      <c r="AI197" s="65"/>
      <c r="AJ197" s="65"/>
      <c r="AK197" s="46"/>
      <c r="AL197" s="66">
        <f>(Simulation!$D$13-(Simulation!$D$13*Simulation!$D$12))/2</f>
        <v>7.5</v>
      </c>
      <c r="AM197" s="47">
        <f t="shared" si="65"/>
        <v>122.125</v>
      </c>
      <c r="AN197" s="48">
        <f t="shared" si="70"/>
        <v>122.125</v>
      </c>
      <c r="AR197" s="49"/>
      <c r="AS197" s="67">
        <f>AS196</f>
        <v>0</v>
      </c>
      <c r="AT197" s="51"/>
      <c r="AU197" s="68">
        <f>Simulation!$D$13</f>
        <v>30</v>
      </c>
      <c r="AV197" s="53">
        <f>$AU$5</f>
        <v>30</v>
      </c>
      <c r="AW197" s="52">
        <f t="shared" si="66"/>
        <v>242.5</v>
      </c>
      <c r="AX197" s="48">
        <f t="shared" si="67"/>
        <v>0</v>
      </c>
      <c r="AY197" s="19"/>
    </row>
    <row r="198" spans="21:51" ht="15" x14ac:dyDescent="0.2">
      <c r="U198" s="4"/>
      <c r="V198" s="126"/>
      <c r="W198" s="126"/>
      <c r="AF198" s="62">
        <f>AF197+AI198</f>
        <v>58</v>
      </c>
      <c r="AG198" s="63"/>
      <c r="AH198" s="46"/>
      <c r="AI198" s="69">
        <f>IF(AJ198&gt;0,IF(Simulation!$C$10="Lithium",VLOOKUP(AJ198+$C$16,Tabella4[],3)-AF197,0),0)</f>
        <v>30</v>
      </c>
      <c r="AJ198" s="69">
        <f>IF(AF197&gt;7,VLOOKUP(AF197,Tabella44[],2),0)</f>
        <v>7</v>
      </c>
      <c r="AK198" s="46"/>
      <c r="AL198" s="70">
        <f>Simulation!$D$13*Simulation!$D$12</f>
        <v>15</v>
      </c>
      <c r="AM198" s="47">
        <f t="shared" si="65"/>
        <v>122.375</v>
      </c>
      <c r="AN198" s="48">
        <f t="shared" si="70"/>
        <v>122.375</v>
      </c>
      <c r="AR198" s="49">
        <v>98</v>
      </c>
      <c r="AS198" s="60">
        <f>IF(AS197&gt;7,AS197-AT198,0)</f>
        <v>0</v>
      </c>
      <c r="AT198" s="61">
        <f>MROUND($C$10*$C$13/60,2)</f>
        <v>30</v>
      </c>
      <c r="AU198" s="44"/>
      <c r="AV198" s="45">
        <f>$C$13</f>
        <v>120</v>
      </c>
      <c r="AW198" s="52">
        <f t="shared" si="66"/>
        <v>244.5</v>
      </c>
      <c r="AX198" s="48">
        <f t="shared" si="67"/>
        <v>0</v>
      </c>
      <c r="AY198" s="19"/>
    </row>
    <row r="199" spans="21:51" ht="15" x14ac:dyDescent="0.2">
      <c r="U199" s="4"/>
      <c r="V199" s="126"/>
      <c r="W199" s="126"/>
      <c r="AF199" s="71">
        <f>AF198</f>
        <v>58</v>
      </c>
      <c r="AG199" s="72"/>
      <c r="AH199" s="73"/>
      <c r="AI199" s="74"/>
      <c r="AJ199" s="74"/>
      <c r="AK199" s="64">
        <f>$AL199</f>
        <v>7.5</v>
      </c>
      <c r="AL199" s="66">
        <f>(Simulation!$D$13-(Simulation!$D$13*Simulation!$D$12))/2</f>
        <v>7.5</v>
      </c>
      <c r="AM199" s="47">
        <f t="shared" si="65"/>
        <v>122.5</v>
      </c>
      <c r="AN199" s="48">
        <f t="shared" si="70"/>
        <v>122.5</v>
      </c>
      <c r="AR199" s="49"/>
      <c r="AS199" s="67">
        <f>AS198</f>
        <v>0</v>
      </c>
      <c r="AT199" s="51"/>
      <c r="AU199" s="68">
        <f>Simulation!$D$13</f>
        <v>30</v>
      </c>
      <c r="AV199" s="53">
        <f>$AU$5</f>
        <v>30</v>
      </c>
      <c r="AW199" s="52">
        <f t="shared" si="66"/>
        <v>245</v>
      </c>
      <c r="AX199" s="48">
        <f t="shared" si="67"/>
        <v>0</v>
      </c>
      <c r="AY199" s="19"/>
    </row>
    <row r="200" spans="21:51" ht="15" x14ac:dyDescent="0.2">
      <c r="U200" s="4"/>
      <c r="V200" s="126"/>
      <c r="W200" s="126"/>
      <c r="AE200" s="95">
        <v>51</v>
      </c>
      <c r="AF200" s="54">
        <f>IF(AF199&gt;7,AF199-AG200,0)</f>
        <v>28</v>
      </c>
      <c r="AG200" s="55">
        <f>MROUND($C$10*$C$13/60,2)</f>
        <v>30</v>
      </c>
      <c r="AH200" s="56"/>
      <c r="AI200" s="57"/>
      <c r="AJ200" s="57"/>
      <c r="AK200" s="58"/>
      <c r="AL200" s="59">
        <f>$C$13</f>
        <v>120</v>
      </c>
      <c r="AM200" s="47">
        <f t="shared" si="65"/>
        <v>124.5</v>
      </c>
      <c r="AN200" s="48">
        <f t="shared" si="70"/>
        <v>124.5</v>
      </c>
      <c r="AR200" s="49">
        <v>99</v>
      </c>
      <c r="AS200" s="60">
        <f>IF(AS199&gt;7,AS199-AT200,0)</f>
        <v>0</v>
      </c>
      <c r="AT200" s="61">
        <f>MROUND($C$10*$C$13/60,2)</f>
        <v>30</v>
      </c>
      <c r="AU200" s="44"/>
      <c r="AV200" s="45">
        <f>$C$13</f>
        <v>120</v>
      </c>
      <c r="AW200" s="52">
        <f t="shared" si="66"/>
        <v>247</v>
      </c>
      <c r="AX200" s="48">
        <f t="shared" si="67"/>
        <v>0</v>
      </c>
      <c r="AY200" s="19"/>
    </row>
    <row r="201" spans="21:51" ht="15" x14ac:dyDescent="0.2">
      <c r="U201" s="4"/>
      <c r="V201" s="126"/>
      <c r="W201" s="126"/>
      <c r="AF201" s="62">
        <f>AF200</f>
        <v>28</v>
      </c>
      <c r="AG201" s="63"/>
      <c r="AH201" s="64">
        <f>$AL201</f>
        <v>7.5</v>
      </c>
      <c r="AI201" s="65"/>
      <c r="AJ201" s="65"/>
      <c r="AK201" s="46"/>
      <c r="AL201" s="66">
        <f>(Simulation!$D$13-(Simulation!$D$13*Simulation!$D$12))/2</f>
        <v>7.5</v>
      </c>
      <c r="AM201" s="47">
        <f t="shared" si="65"/>
        <v>124.625</v>
      </c>
      <c r="AN201" s="48">
        <f t="shared" si="70"/>
        <v>124.625</v>
      </c>
      <c r="AR201" s="49"/>
      <c r="AS201" s="67">
        <f>AS200</f>
        <v>0</v>
      </c>
      <c r="AT201" s="51"/>
      <c r="AU201" s="68">
        <f>Simulation!$D$13</f>
        <v>30</v>
      </c>
      <c r="AV201" s="53">
        <f>$AU$5</f>
        <v>30</v>
      </c>
      <c r="AW201" s="52">
        <f t="shared" si="66"/>
        <v>247.5</v>
      </c>
      <c r="AX201" s="48">
        <f t="shared" si="67"/>
        <v>0</v>
      </c>
      <c r="AY201" s="19"/>
    </row>
    <row r="202" spans="21:51" ht="15" x14ac:dyDescent="0.2">
      <c r="U202" s="4"/>
      <c r="V202" s="126"/>
      <c r="W202" s="126"/>
      <c r="AF202" s="62">
        <f>AF201+AI202</f>
        <v>58</v>
      </c>
      <c r="AG202" s="63"/>
      <c r="AH202" s="46"/>
      <c r="AI202" s="69">
        <f>IF(AJ202&gt;0,IF(Simulation!$C$10="Lithium",VLOOKUP(AJ202+$C$16,Tabella4[],3)-AF201,0),0)</f>
        <v>30</v>
      </c>
      <c r="AJ202" s="69">
        <f>IF(AF201&gt;7,VLOOKUP(AF201,Tabella44[],2),0)</f>
        <v>7</v>
      </c>
      <c r="AK202" s="46"/>
      <c r="AL202" s="70">
        <f>Simulation!$D$13*Simulation!$D$12</f>
        <v>15</v>
      </c>
      <c r="AM202" s="47">
        <f t="shared" si="65"/>
        <v>124.875</v>
      </c>
      <c r="AN202" s="48">
        <f t="shared" si="70"/>
        <v>124.875</v>
      </c>
      <c r="AR202" s="49">
        <v>100</v>
      </c>
      <c r="AS202" s="60">
        <f>IF(AS201&gt;7,AS201-AT202,0)</f>
        <v>0</v>
      </c>
      <c r="AT202" s="61">
        <f>MROUND($C$10*$C$13/60,2)</f>
        <v>30</v>
      </c>
      <c r="AU202" s="44"/>
      <c r="AV202" s="45">
        <f>$C$13</f>
        <v>120</v>
      </c>
      <c r="AW202" s="52">
        <f t="shared" si="66"/>
        <v>249.5</v>
      </c>
      <c r="AX202" s="48">
        <f t="shared" si="67"/>
        <v>0</v>
      </c>
      <c r="AY202" s="19"/>
    </row>
    <row r="203" spans="21:51" ht="15" x14ac:dyDescent="0.2">
      <c r="U203" s="4"/>
      <c r="V203" s="126"/>
      <c r="W203" s="126"/>
      <c r="AF203" s="71">
        <f>AF202</f>
        <v>58</v>
      </c>
      <c r="AG203" s="72"/>
      <c r="AH203" s="73"/>
      <c r="AI203" s="74"/>
      <c r="AJ203" s="74"/>
      <c r="AK203" s="64">
        <f>$AL203</f>
        <v>7.5</v>
      </c>
      <c r="AL203" s="66">
        <f>(Simulation!$D$13-(Simulation!$D$13*Simulation!$D$12))/2</f>
        <v>7.5</v>
      </c>
      <c r="AM203" s="47">
        <f t="shared" si="65"/>
        <v>125</v>
      </c>
      <c r="AN203" s="48">
        <f t="shared" si="70"/>
        <v>125</v>
      </c>
      <c r="AR203" s="49"/>
      <c r="AS203" s="67">
        <f>AS202</f>
        <v>0</v>
      </c>
      <c r="AT203" s="51"/>
      <c r="AU203" s="68">
        <f>Simulation!$D$13</f>
        <v>30</v>
      </c>
      <c r="AV203" s="53">
        <f>$AU$5</f>
        <v>30</v>
      </c>
      <c r="AW203" s="52">
        <f t="shared" si="66"/>
        <v>250</v>
      </c>
      <c r="AX203" s="48">
        <f t="shared" si="67"/>
        <v>0</v>
      </c>
      <c r="AY203" s="19"/>
    </row>
    <row r="204" spans="21:51" ht="15" x14ac:dyDescent="0.2">
      <c r="U204" s="4"/>
      <c r="V204" s="126"/>
      <c r="W204" s="126"/>
      <c r="AE204" s="95">
        <v>52</v>
      </c>
      <c r="AF204" s="54">
        <f>IF(AF203&gt;7,AF203-AG204,0)</f>
        <v>28</v>
      </c>
      <c r="AG204" s="55">
        <f>MROUND($C$10*$C$13/60,2)</f>
        <v>30</v>
      </c>
      <c r="AH204" s="56"/>
      <c r="AI204" s="57"/>
      <c r="AJ204" s="57"/>
      <c r="AK204" s="58"/>
      <c r="AL204" s="59">
        <f>$C$13</f>
        <v>120</v>
      </c>
      <c r="AM204" s="47">
        <f t="shared" si="65"/>
        <v>127</v>
      </c>
      <c r="AN204" s="48">
        <f t="shared" si="70"/>
        <v>127</v>
      </c>
      <c r="AR204" s="49">
        <v>101</v>
      </c>
      <c r="AS204" s="60">
        <f>IF(AS203&gt;7,AS203-AT204,0)</f>
        <v>0</v>
      </c>
      <c r="AT204" s="61">
        <f>MROUND($C$10*$C$13/60,2)</f>
        <v>30</v>
      </c>
      <c r="AU204" s="44"/>
      <c r="AV204" s="45">
        <f>$C$13</f>
        <v>120</v>
      </c>
      <c r="AW204" s="52">
        <f t="shared" si="66"/>
        <v>252</v>
      </c>
      <c r="AX204" s="48">
        <f t="shared" si="67"/>
        <v>0</v>
      </c>
      <c r="AY204" s="19"/>
    </row>
    <row r="205" spans="21:51" ht="15" x14ac:dyDescent="0.2">
      <c r="U205" s="4"/>
      <c r="V205" s="126"/>
      <c r="W205" s="126"/>
      <c r="AF205" s="62">
        <f>AF204</f>
        <v>28</v>
      </c>
      <c r="AG205" s="63"/>
      <c r="AH205" s="64">
        <f>$AL205</f>
        <v>7.5</v>
      </c>
      <c r="AI205" s="65"/>
      <c r="AJ205" s="65"/>
      <c r="AK205" s="46"/>
      <c r="AL205" s="66">
        <f>(Simulation!$D$13-(Simulation!$D$13*Simulation!$D$12))/2</f>
        <v>7.5</v>
      </c>
      <c r="AM205" s="47">
        <f t="shared" si="65"/>
        <v>127.125</v>
      </c>
      <c r="AN205" s="48">
        <f t="shared" si="70"/>
        <v>127.125</v>
      </c>
      <c r="AR205" s="49"/>
      <c r="AS205" s="67">
        <f>AS204</f>
        <v>0</v>
      </c>
      <c r="AT205" s="51"/>
      <c r="AU205" s="68">
        <f>Simulation!$D$13</f>
        <v>30</v>
      </c>
      <c r="AV205" s="53">
        <f>$AU$5</f>
        <v>30</v>
      </c>
      <c r="AW205" s="52">
        <f t="shared" si="66"/>
        <v>252.5</v>
      </c>
      <c r="AX205" s="48">
        <f t="shared" si="67"/>
        <v>0</v>
      </c>
      <c r="AY205" s="19"/>
    </row>
    <row r="206" spans="21:51" ht="15" x14ac:dyDescent="0.2">
      <c r="U206" s="4"/>
      <c r="V206" s="126"/>
      <c r="W206" s="126"/>
      <c r="AF206" s="62">
        <f>AF205+AI206</f>
        <v>58</v>
      </c>
      <c r="AG206" s="63"/>
      <c r="AH206" s="46"/>
      <c r="AI206" s="69">
        <f>IF(AJ206&gt;0,IF(Simulation!$C$10="Lithium",VLOOKUP(AJ206+$C$16,Tabella4[],3)-AF205,0),0)</f>
        <v>30</v>
      </c>
      <c r="AJ206" s="69">
        <f>IF(AF205&gt;7,VLOOKUP(AF205,Tabella44[],2),0)</f>
        <v>7</v>
      </c>
      <c r="AK206" s="46"/>
      <c r="AL206" s="70">
        <f>Simulation!$D$13*Simulation!$D$12</f>
        <v>15</v>
      </c>
      <c r="AM206" s="47">
        <f t="shared" si="65"/>
        <v>127.375</v>
      </c>
      <c r="AN206" s="48">
        <f t="shared" si="70"/>
        <v>127.375</v>
      </c>
      <c r="AR206" s="49">
        <v>102</v>
      </c>
      <c r="AS206" s="60">
        <f>IF(AS205&gt;7,AS205-AT206,0)</f>
        <v>0</v>
      </c>
      <c r="AT206" s="61">
        <f>MROUND($C$10*$C$13/60,2)</f>
        <v>30</v>
      </c>
      <c r="AU206" s="44"/>
      <c r="AV206" s="45">
        <f>$C$13</f>
        <v>120</v>
      </c>
      <c r="AW206" s="52">
        <f t="shared" si="66"/>
        <v>254.5</v>
      </c>
      <c r="AX206" s="48">
        <f t="shared" si="67"/>
        <v>0</v>
      </c>
      <c r="AY206" s="19"/>
    </row>
    <row r="207" spans="21:51" ht="15" x14ac:dyDescent="0.2">
      <c r="U207" s="4"/>
      <c r="V207" s="126"/>
      <c r="W207" s="126"/>
      <c r="AF207" s="71">
        <f>AF206</f>
        <v>58</v>
      </c>
      <c r="AG207" s="72"/>
      <c r="AH207" s="73"/>
      <c r="AI207" s="74"/>
      <c r="AJ207" s="74"/>
      <c r="AK207" s="64">
        <f>$AL207</f>
        <v>7.5</v>
      </c>
      <c r="AL207" s="66">
        <f>(Simulation!$D$13-(Simulation!$D$13*Simulation!$D$12))/2</f>
        <v>7.5</v>
      </c>
      <c r="AM207" s="47">
        <f t="shared" si="65"/>
        <v>127.5</v>
      </c>
      <c r="AN207" s="48">
        <f t="shared" si="70"/>
        <v>127.5</v>
      </c>
      <c r="AR207" s="49"/>
      <c r="AS207" s="67">
        <f>AS206</f>
        <v>0</v>
      </c>
      <c r="AT207" s="51"/>
      <c r="AU207" s="68">
        <f>Simulation!$D$13</f>
        <v>30</v>
      </c>
      <c r="AV207" s="53">
        <f>$AU$5</f>
        <v>30</v>
      </c>
      <c r="AW207" s="52">
        <f t="shared" si="66"/>
        <v>255</v>
      </c>
      <c r="AX207" s="48">
        <f t="shared" si="67"/>
        <v>0</v>
      </c>
      <c r="AY207" s="19"/>
    </row>
    <row r="208" spans="21:51" ht="15" x14ac:dyDescent="0.2">
      <c r="U208" s="4"/>
      <c r="V208" s="126"/>
      <c r="W208" s="126"/>
      <c r="AE208" s="95">
        <v>53</v>
      </c>
      <c r="AF208" s="54">
        <f>IF(AF207&gt;7,AF207-AG208,0)</f>
        <v>28</v>
      </c>
      <c r="AG208" s="55">
        <f>MROUND($C$10*$C$13/60,2)</f>
        <v>30</v>
      </c>
      <c r="AH208" s="56"/>
      <c r="AI208" s="57"/>
      <c r="AJ208" s="57"/>
      <c r="AK208" s="58"/>
      <c r="AL208" s="59">
        <f>$C$13</f>
        <v>120</v>
      </c>
      <c r="AM208" s="47">
        <f t="shared" si="65"/>
        <v>129.5</v>
      </c>
      <c r="AN208" s="48">
        <f t="shared" si="70"/>
        <v>129.5</v>
      </c>
      <c r="AR208" s="49">
        <v>103</v>
      </c>
      <c r="AS208" s="60">
        <f>IF(AS207&gt;7,AS207-AT208,0)</f>
        <v>0</v>
      </c>
      <c r="AT208" s="61">
        <f>MROUND($C$10*$C$13/60,2)</f>
        <v>30</v>
      </c>
      <c r="AU208" s="44"/>
      <c r="AV208" s="45">
        <f>$C$13</f>
        <v>120</v>
      </c>
      <c r="AW208" s="52">
        <f t="shared" si="66"/>
        <v>257</v>
      </c>
      <c r="AX208" s="48">
        <f t="shared" si="67"/>
        <v>0</v>
      </c>
      <c r="AY208" s="19"/>
    </row>
    <row r="209" spans="21:51" ht="15" x14ac:dyDescent="0.2">
      <c r="U209" s="4"/>
      <c r="V209" s="126"/>
      <c r="W209" s="126"/>
      <c r="AF209" s="62">
        <f>AF208</f>
        <v>28</v>
      </c>
      <c r="AG209" s="63"/>
      <c r="AH209" s="64">
        <f>$AL209</f>
        <v>7.5</v>
      </c>
      <c r="AI209" s="65"/>
      <c r="AJ209" s="65"/>
      <c r="AK209" s="46"/>
      <c r="AL209" s="66">
        <f>(Simulation!$D$13-(Simulation!$D$13*Simulation!$D$12))/2</f>
        <v>7.5</v>
      </c>
      <c r="AM209" s="47">
        <f t="shared" si="65"/>
        <v>129.625</v>
      </c>
      <c r="AN209" s="48">
        <f t="shared" si="70"/>
        <v>129.625</v>
      </c>
      <c r="AR209" s="49"/>
      <c r="AS209" s="67">
        <f>AS208</f>
        <v>0</v>
      </c>
      <c r="AT209" s="51"/>
      <c r="AU209" s="68">
        <f>Simulation!$D$13</f>
        <v>30</v>
      </c>
      <c r="AV209" s="53">
        <f>$AU$5</f>
        <v>30</v>
      </c>
      <c r="AW209" s="52">
        <f t="shared" si="66"/>
        <v>257.5</v>
      </c>
      <c r="AX209" s="48">
        <f t="shared" si="67"/>
        <v>0</v>
      </c>
      <c r="AY209" s="19"/>
    </row>
    <row r="210" spans="21:51" ht="15" x14ac:dyDescent="0.2">
      <c r="U210" s="4"/>
      <c r="V210" s="126"/>
      <c r="W210" s="126"/>
      <c r="AF210" s="62">
        <f>AF209+AI210</f>
        <v>58</v>
      </c>
      <c r="AG210" s="63"/>
      <c r="AH210" s="46"/>
      <c r="AI210" s="69">
        <f>IF(AJ210&gt;0,IF(Simulation!$C$10="Lithium",VLOOKUP(AJ210+$C$16,Tabella4[],3)-AF209,0),0)</f>
        <v>30</v>
      </c>
      <c r="AJ210" s="69">
        <f>IF(AF209&gt;7,VLOOKUP(AF209,Tabella44[],2),0)</f>
        <v>7</v>
      </c>
      <c r="AK210" s="46"/>
      <c r="AL210" s="70">
        <f>Simulation!$D$13*Simulation!$D$12</f>
        <v>15</v>
      </c>
      <c r="AM210" s="47">
        <f t="shared" si="65"/>
        <v>129.875</v>
      </c>
      <c r="AN210" s="48">
        <f t="shared" si="70"/>
        <v>129.875</v>
      </c>
      <c r="AR210" s="49">
        <v>104</v>
      </c>
      <c r="AS210" s="60">
        <f>IF(AS209&gt;7,AS209-AT210,0)</f>
        <v>0</v>
      </c>
      <c r="AT210" s="61">
        <f>MROUND($C$10*$C$13/60,2)</f>
        <v>30</v>
      </c>
      <c r="AU210" s="44"/>
      <c r="AV210" s="45">
        <f>$C$13</f>
        <v>120</v>
      </c>
      <c r="AW210" s="52">
        <f t="shared" si="66"/>
        <v>259.5</v>
      </c>
      <c r="AX210" s="48">
        <f t="shared" si="67"/>
        <v>0</v>
      </c>
      <c r="AY210" s="19"/>
    </row>
    <row r="211" spans="21:51" ht="15" x14ac:dyDescent="0.2">
      <c r="U211" s="4"/>
      <c r="V211" s="126"/>
      <c r="W211" s="126"/>
      <c r="AF211" s="71">
        <f>AF210</f>
        <v>58</v>
      </c>
      <c r="AG211" s="72"/>
      <c r="AH211" s="73"/>
      <c r="AI211" s="74"/>
      <c r="AJ211" s="74"/>
      <c r="AK211" s="64">
        <f>$AL211</f>
        <v>7.5</v>
      </c>
      <c r="AL211" s="66">
        <f>(Simulation!$D$13-(Simulation!$D$13*Simulation!$D$12))/2</f>
        <v>7.5</v>
      </c>
      <c r="AM211" s="47">
        <f t="shared" si="65"/>
        <v>130</v>
      </c>
      <c r="AN211" s="48">
        <f t="shared" si="70"/>
        <v>130</v>
      </c>
      <c r="AR211" s="49"/>
      <c r="AS211" s="67">
        <f>AS210</f>
        <v>0</v>
      </c>
      <c r="AT211" s="51"/>
      <c r="AU211" s="68">
        <f>Simulation!$D$13</f>
        <v>30</v>
      </c>
      <c r="AV211" s="53">
        <f>$AU$5</f>
        <v>30</v>
      </c>
      <c r="AW211" s="52">
        <f t="shared" si="66"/>
        <v>260</v>
      </c>
      <c r="AX211" s="48">
        <f t="shared" si="67"/>
        <v>0</v>
      </c>
      <c r="AY211" s="19"/>
    </row>
    <row r="212" spans="21:51" ht="15" x14ac:dyDescent="0.2">
      <c r="U212" s="4"/>
      <c r="V212" s="126"/>
      <c r="W212" s="126"/>
      <c r="AE212" s="95">
        <v>54</v>
      </c>
      <c r="AF212" s="54">
        <f>IF(AF211&gt;7,AF211-AG212,0)</f>
        <v>28</v>
      </c>
      <c r="AG212" s="55">
        <f>MROUND($C$10*$C$13/60,2)</f>
        <v>30</v>
      </c>
      <c r="AH212" s="56"/>
      <c r="AI212" s="57"/>
      <c r="AJ212" s="57"/>
      <c r="AK212" s="58"/>
      <c r="AL212" s="59">
        <f>$C$13</f>
        <v>120</v>
      </c>
      <c r="AM212" s="47">
        <f t="shared" si="65"/>
        <v>132</v>
      </c>
      <c r="AN212" s="48">
        <f t="shared" si="70"/>
        <v>132</v>
      </c>
      <c r="AR212" s="49">
        <v>105</v>
      </c>
      <c r="AS212" s="60">
        <f>IF(AS211&gt;7,AS211-AT212,0)</f>
        <v>0</v>
      </c>
      <c r="AT212" s="61">
        <f>MROUND($C$10*$C$13/60,2)</f>
        <v>30</v>
      </c>
      <c r="AU212" s="44"/>
      <c r="AV212" s="45">
        <f>$C$13</f>
        <v>120</v>
      </c>
      <c r="AW212" s="52">
        <f t="shared" si="66"/>
        <v>262</v>
      </c>
      <c r="AX212" s="48">
        <f t="shared" si="67"/>
        <v>0</v>
      </c>
      <c r="AY212" s="19"/>
    </row>
    <row r="213" spans="21:51" ht="15" x14ac:dyDescent="0.2">
      <c r="U213" s="4"/>
      <c r="V213" s="126"/>
      <c r="W213" s="126"/>
      <c r="AF213" s="62">
        <f>AF212</f>
        <v>28</v>
      </c>
      <c r="AG213" s="63"/>
      <c r="AH213" s="64">
        <f>$AL213</f>
        <v>7.5</v>
      </c>
      <c r="AI213" s="65"/>
      <c r="AJ213" s="65"/>
      <c r="AK213" s="46"/>
      <c r="AL213" s="66">
        <f>(Simulation!$D$13-(Simulation!$D$13*Simulation!$D$12))/2</f>
        <v>7.5</v>
      </c>
      <c r="AM213" s="47">
        <f t="shared" si="65"/>
        <v>132.125</v>
      </c>
      <c r="AN213" s="48">
        <f t="shared" si="70"/>
        <v>132.125</v>
      </c>
      <c r="AR213" s="49"/>
      <c r="AS213" s="67">
        <f>AS212</f>
        <v>0</v>
      </c>
      <c r="AT213" s="51"/>
      <c r="AU213" s="68">
        <f>Simulation!$D$13</f>
        <v>30</v>
      </c>
      <c r="AV213" s="53">
        <f>$AU$5</f>
        <v>30</v>
      </c>
      <c r="AW213" s="52">
        <f t="shared" si="66"/>
        <v>262.5</v>
      </c>
      <c r="AX213" s="48">
        <f t="shared" si="67"/>
        <v>0</v>
      </c>
      <c r="AY213" s="19"/>
    </row>
    <row r="214" spans="21:51" ht="15" x14ac:dyDescent="0.2">
      <c r="U214" s="4"/>
      <c r="V214" s="126"/>
      <c r="W214" s="126"/>
      <c r="AF214" s="62">
        <f>AF213+AI214</f>
        <v>58</v>
      </c>
      <c r="AG214" s="63"/>
      <c r="AH214" s="46"/>
      <c r="AI214" s="69">
        <f>IF(AJ214&gt;0,IF(Simulation!$C$10="Lithium",VLOOKUP(AJ214+$C$16,Tabella4[],3)-AF213,0),0)</f>
        <v>30</v>
      </c>
      <c r="AJ214" s="69">
        <f>IF(AF213&gt;7,VLOOKUP(AF213,Tabella44[],2),0)</f>
        <v>7</v>
      </c>
      <c r="AK214" s="46"/>
      <c r="AL214" s="70">
        <f>Simulation!$D$13*Simulation!$D$12</f>
        <v>15</v>
      </c>
      <c r="AM214" s="47">
        <f t="shared" si="65"/>
        <v>132.375</v>
      </c>
      <c r="AN214" s="48">
        <f t="shared" si="70"/>
        <v>132.375</v>
      </c>
      <c r="AR214" s="49">
        <v>106</v>
      </c>
      <c r="AS214" s="60">
        <f>IF(AS213&gt;7,AS213-AT214,0)</f>
        <v>0</v>
      </c>
      <c r="AT214" s="61">
        <f>MROUND($C$10*$C$13/60,2)</f>
        <v>30</v>
      </c>
      <c r="AU214" s="44"/>
      <c r="AV214" s="45">
        <f>$C$13</f>
        <v>120</v>
      </c>
      <c r="AW214" s="52">
        <f t="shared" si="66"/>
        <v>264.5</v>
      </c>
      <c r="AX214" s="48">
        <f t="shared" si="67"/>
        <v>0</v>
      </c>
      <c r="AY214" s="19"/>
    </row>
    <row r="215" spans="21:51" ht="15" x14ac:dyDescent="0.2">
      <c r="U215" s="4"/>
      <c r="V215" s="126"/>
      <c r="W215" s="126"/>
      <c r="AF215" s="71">
        <f>AF214</f>
        <v>58</v>
      </c>
      <c r="AG215" s="72"/>
      <c r="AH215" s="73"/>
      <c r="AI215" s="74"/>
      <c r="AJ215" s="74"/>
      <c r="AK215" s="64">
        <f>$AL215</f>
        <v>7.5</v>
      </c>
      <c r="AL215" s="66">
        <f>(Simulation!$D$13-(Simulation!$D$13*Simulation!$D$12))/2</f>
        <v>7.5</v>
      </c>
      <c r="AM215" s="47">
        <f t="shared" si="65"/>
        <v>132.5</v>
      </c>
      <c r="AN215" s="48">
        <f t="shared" si="70"/>
        <v>132.5</v>
      </c>
      <c r="AR215" s="49"/>
      <c r="AS215" s="67">
        <f>AS214</f>
        <v>0</v>
      </c>
      <c r="AT215" s="51"/>
      <c r="AU215" s="68">
        <f>Simulation!$D$13</f>
        <v>30</v>
      </c>
      <c r="AV215" s="53">
        <f>$AU$5</f>
        <v>30</v>
      </c>
      <c r="AW215" s="52">
        <f t="shared" si="66"/>
        <v>265</v>
      </c>
      <c r="AX215" s="48">
        <f t="shared" si="67"/>
        <v>0</v>
      </c>
      <c r="AY215" s="19"/>
    </row>
    <row r="216" spans="21:51" ht="15" x14ac:dyDescent="0.2">
      <c r="U216" s="4"/>
      <c r="V216" s="126"/>
      <c r="W216" s="126"/>
      <c r="AE216" s="95">
        <v>55</v>
      </c>
      <c r="AF216" s="54">
        <f>IF(AF215&gt;7,AF215-AG216,0)</f>
        <v>28</v>
      </c>
      <c r="AG216" s="55">
        <f>MROUND($C$10*$C$13/60,2)</f>
        <v>30</v>
      </c>
      <c r="AH216" s="56"/>
      <c r="AI216" s="57"/>
      <c r="AJ216" s="57"/>
      <c r="AK216" s="58"/>
      <c r="AL216" s="59">
        <f>$C$13</f>
        <v>120</v>
      </c>
      <c r="AM216" s="47">
        <f t="shared" si="65"/>
        <v>134.5</v>
      </c>
      <c r="AN216" s="48">
        <f t="shared" si="70"/>
        <v>134.5</v>
      </c>
      <c r="AR216" s="49">
        <v>107</v>
      </c>
      <c r="AS216" s="60">
        <f>IF(AS215&gt;7,AS215-AT216,0)</f>
        <v>0</v>
      </c>
      <c r="AT216" s="61">
        <f>MROUND($C$10*$C$13/60,2)</f>
        <v>30</v>
      </c>
      <c r="AU216" s="44"/>
      <c r="AV216" s="45">
        <f>$C$13</f>
        <v>120</v>
      </c>
      <c r="AW216" s="52">
        <f t="shared" si="66"/>
        <v>267</v>
      </c>
      <c r="AX216" s="48">
        <f t="shared" si="67"/>
        <v>0</v>
      </c>
      <c r="AY216" s="19"/>
    </row>
    <row r="217" spans="21:51" ht="15" x14ac:dyDescent="0.2">
      <c r="U217" s="4"/>
      <c r="V217" s="126"/>
      <c r="W217" s="126"/>
      <c r="AF217" s="62">
        <f>AF216</f>
        <v>28</v>
      </c>
      <c r="AG217" s="63"/>
      <c r="AH217" s="64">
        <f>$AL217</f>
        <v>7.5</v>
      </c>
      <c r="AI217" s="65"/>
      <c r="AJ217" s="65"/>
      <c r="AK217" s="46"/>
      <c r="AL217" s="66">
        <f>(Simulation!$D$13-(Simulation!$D$13*Simulation!$D$12))/2</f>
        <v>7.5</v>
      </c>
      <c r="AM217" s="47">
        <f t="shared" si="65"/>
        <v>134.625</v>
      </c>
      <c r="AN217" s="48">
        <f t="shared" si="70"/>
        <v>134.625</v>
      </c>
      <c r="AR217" s="49"/>
      <c r="AS217" s="67">
        <f>AS216</f>
        <v>0</v>
      </c>
      <c r="AT217" s="51"/>
      <c r="AU217" s="68">
        <f>Simulation!$D$13</f>
        <v>30</v>
      </c>
      <c r="AV217" s="53">
        <f>$AU$5</f>
        <v>30</v>
      </c>
      <c r="AW217" s="52">
        <f t="shared" si="66"/>
        <v>267.5</v>
      </c>
      <c r="AX217" s="48">
        <f t="shared" si="67"/>
        <v>0</v>
      </c>
      <c r="AY217" s="19"/>
    </row>
    <row r="218" spans="21:51" ht="15" x14ac:dyDescent="0.2">
      <c r="U218" s="4"/>
      <c r="V218" s="126"/>
      <c r="W218" s="126"/>
      <c r="AF218" s="62">
        <f>AF217+AI218</f>
        <v>58</v>
      </c>
      <c r="AG218" s="63"/>
      <c r="AH218" s="46"/>
      <c r="AI218" s="69">
        <f>IF(AJ218&gt;0,IF(Simulation!$C$10="Lithium",VLOOKUP(AJ218+$C$16,Tabella4[],3)-AF217,0),0)</f>
        <v>30</v>
      </c>
      <c r="AJ218" s="69">
        <f>IF(AF217&gt;7,VLOOKUP(AF217,Tabella44[],2),0)</f>
        <v>7</v>
      </c>
      <c r="AK218" s="46"/>
      <c r="AL218" s="70">
        <f>Simulation!$D$13*Simulation!$D$12</f>
        <v>15</v>
      </c>
      <c r="AM218" s="47">
        <f t="shared" si="65"/>
        <v>134.875</v>
      </c>
      <c r="AN218" s="48">
        <f t="shared" si="70"/>
        <v>134.875</v>
      </c>
      <c r="AR218" s="49">
        <v>108</v>
      </c>
      <c r="AS218" s="60">
        <f>IF(AS217&gt;7,AS217-AT218,0)</f>
        <v>0</v>
      </c>
      <c r="AT218" s="61">
        <f>MROUND($C$10*$C$13/60,2)</f>
        <v>30</v>
      </c>
      <c r="AU218" s="44"/>
      <c r="AV218" s="45">
        <f>$C$13</f>
        <v>120</v>
      </c>
      <c r="AW218" s="52">
        <f t="shared" si="66"/>
        <v>269.5</v>
      </c>
      <c r="AX218" s="48">
        <f t="shared" si="67"/>
        <v>0</v>
      </c>
      <c r="AY218" s="19"/>
    </row>
    <row r="219" spans="21:51" x14ac:dyDescent="0.2">
      <c r="AF219" s="71">
        <f>AF218</f>
        <v>58</v>
      </c>
      <c r="AG219" s="72"/>
      <c r="AH219" s="73"/>
      <c r="AI219" s="74"/>
      <c r="AJ219" s="74"/>
      <c r="AK219" s="64">
        <f>$AL219</f>
        <v>7.5</v>
      </c>
      <c r="AL219" s="66">
        <f>(Simulation!$D$13-(Simulation!$D$13*Simulation!$D$12))/2</f>
        <v>7.5</v>
      </c>
      <c r="AM219" s="47">
        <f t="shared" si="65"/>
        <v>135</v>
      </c>
      <c r="AN219" s="48">
        <f t="shared" si="70"/>
        <v>135</v>
      </c>
      <c r="AR219" s="49"/>
      <c r="AS219" s="67">
        <f>AS218</f>
        <v>0</v>
      </c>
      <c r="AT219" s="51"/>
      <c r="AU219" s="68">
        <f>Simulation!$D$13</f>
        <v>30</v>
      </c>
      <c r="AV219" s="53">
        <f>$AU$5</f>
        <v>30</v>
      </c>
      <c r="AW219" s="52">
        <f t="shared" si="66"/>
        <v>270</v>
      </c>
      <c r="AX219" s="48">
        <f t="shared" si="67"/>
        <v>0</v>
      </c>
      <c r="AY219" s="19"/>
    </row>
    <row r="220" spans="21:51" x14ac:dyDescent="0.2">
      <c r="AE220" s="95">
        <v>56</v>
      </c>
      <c r="AF220" s="54">
        <f>IF(AF219&gt;7,AF219-AG220,0)</f>
        <v>28</v>
      </c>
      <c r="AG220" s="55">
        <f>MROUND($C$10*$C$13/60,2)</f>
        <v>30</v>
      </c>
      <c r="AH220" s="56"/>
      <c r="AI220" s="57"/>
      <c r="AJ220" s="57"/>
      <c r="AK220" s="58"/>
      <c r="AL220" s="59">
        <f>$C$13</f>
        <v>120</v>
      </c>
      <c r="AM220" s="47">
        <f t="shared" ref="AM220:AM227" si="71">((AM219*60)+AL220)/60</f>
        <v>137</v>
      </c>
      <c r="AN220" s="48">
        <f t="shared" si="70"/>
        <v>137</v>
      </c>
      <c r="AR220" s="49">
        <v>109</v>
      </c>
      <c r="AS220" s="60">
        <f>IF(AS219&gt;7,AS219-AT220,0)</f>
        <v>0</v>
      </c>
      <c r="AT220" s="61">
        <f>MROUND($C$10*$C$13/60,2)</f>
        <v>30</v>
      </c>
      <c r="AU220" s="44"/>
      <c r="AV220" s="45">
        <f>$C$13</f>
        <v>120</v>
      </c>
      <c r="AW220" s="52">
        <f t="shared" ref="AW220:AW227" si="72">((AW219*60)+AV220)/60</f>
        <v>272</v>
      </c>
      <c r="AX220" s="48">
        <f t="shared" ref="AX220:AX227" si="73">IF(AS220&gt;0,1*AW220,0)</f>
        <v>0</v>
      </c>
      <c r="AY220" s="19"/>
    </row>
    <row r="221" spans="21:51" x14ac:dyDescent="0.2">
      <c r="AF221" s="62">
        <f>AF220</f>
        <v>28</v>
      </c>
      <c r="AG221" s="63"/>
      <c r="AH221" s="64">
        <f>$AL221</f>
        <v>7.5</v>
      </c>
      <c r="AI221" s="65"/>
      <c r="AJ221" s="65"/>
      <c r="AK221" s="46"/>
      <c r="AL221" s="66">
        <f>(Simulation!$D$13-(Simulation!$D$13*Simulation!$D$12))/2</f>
        <v>7.5</v>
      </c>
      <c r="AM221" s="47">
        <f t="shared" si="71"/>
        <v>137.125</v>
      </c>
      <c r="AN221" s="48">
        <f t="shared" si="70"/>
        <v>137.125</v>
      </c>
      <c r="AR221" s="49"/>
      <c r="AS221" s="67">
        <f>AS220</f>
        <v>0</v>
      </c>
      <c r="AT221" s="51"/>
      <c r="AU221" s="68">
        <f>Simulation!$D$13</f>
        <v>30</v>
      </c>
      <c r="AV221" s="53">
        <f>$AU$5</f>
        <v>30</v>
      </c>
      <c r="AW221" s="52">
        <f t="shared" si="72"/>
        <v>272.5</v>
      </c>
      <c r="AX221" s="48">
        <f t="shared" si="73"/>
        <v>0</v>
      </c>
      <c r="AY221" s="19"/>
    </row>
    <row r="222" spans="21:51" x14ac:dyDescent="0.2">
      <c r="AF222" s="62">
        <f>AF221+AI222</f>
        <v>58</v>
      </c>
      <c r="AG222" s="63"/>
      <c r="AH222" s="46"/>
      <c r="AI222" s="69">
        <f>IF(AJ222&gt;0,IF(Simulation!$C$10="Lithium",VLOOKUP(AJ222+$C$16,Tabella4[],3)-AF221,0),0)</f>
        <v>30</v>
      </c>
      <c r="AJ222" s="69">
        <f>IF(AF221&gt;7,VLOOKUP(AF221,Tabella44[],2),0)</f>
        <v>7</v>
      </c>
      <c r="AK222" s="46"/>
      <c r="AL222" s="70">
        <f>Simulation!$D$13*Simulation!$D$12</f>
        <v>15</v>
      </c>
      <c r="AM222" s="47">
        <f t="shared" si="71"/>
        <v>137.375</v>
      </c>
      <c r="AN222" s="48">
        <f t="shared" si="70"/>
        <v>137.375</v>
      </c>
      <c r="AR222" s="49">
        <v>110</v>
      </c>
      <c r="AS222" s="60">
        <f>IF(AS221&gt;7,AS221-AT222,0)</f>
        <v>0</v>
      </c>
      <c r="AT222" s="61">
        <f>MROUND($C$10*$C$13/60,2)</f>
        <v>30</v>
      </c>
      <c r="AU222" s="44"/>
      <c r="AV222" s="45">
        <f>$C$13</f>
        <v>120</v>
      </c>
      <c r="AW222" s="52">
        <f t="shared" si="72"/>
        <v>274.5</v>
      </c>
      <c r="AX222" s="48">
        <f t="shared" si="73"/>
        <v>0</v>
      </c>
      <c r="AY222" s="19"/>
    </row>
    <row r="223" spans="21:51" x14ac:dyDescent="0.2">
      <c r="AF223" s="71">
        <f>AF222</f>
        <v>58</v>
      </c>
      <c r="AG223" s="72"/>
      <c r="AH223" s="73"/>
      <c r="AI223" s="74"/>
      <c r="AJ223" s="74"/>
      <c r="AK223" s="64">
        <f>$AL223</f>
        <v>7.5</v>
      </c>
      <c r="AL223" s="66">
        <f>(Simulation!$D$13-(Simulation!$D$13*Simulation!$D$12))/2</f>
        <v>7.5</v>
      </c>
      <c r="AM223" s="47">
        <f t="shared" si="71"/>
        <v>137.5</v>
      </c>
      <c r="AN223" s="48">
        <f t="shared" si="70"/>
        <v>137.5</v>
      </c>
      <c r="AR223" s="49"/>
      <c r="AS223" s="67">
        <f>AS222</f>
        <v>0</v>
      </c>
      <c r="AT223" s="51"/>
      <c r="AU223" s="68">
        <f>Simulation!$D$13</f>
        <v>30</v>
      </c>
      <c r="AV223" s="53">
        <f>$AU$5</f>
        <v>30</v>
      </c>
      <c r="AW223" s="52">
        <f t="shared" si="72"/>
        <v>275</v>
      </c>
      <c r="AX223" s="48">
        <f t="shared" si="73"/>
        <v>0</v>
      </c>
      <c r="AY223" s="19"/>
    </row>
    <row r="224" spans="21:51" x14ac:dyDescent="0.2">
      <c r="AE224" s="95">
        <v>57</v>
      </c>
      <c r="AF224" s="54">
        <f>IF(AF223&gt;7,AF223-AG224,0)</f>
        <v>28</v>
      </c>
      <c r="AG224" s="55">
        <f>MROUND($C$10*$C$13/60,2)</f>
        <v>30</v>
      </c>
      <c r="AH224" s="56"/>
      <c r="AI224" s="57"/>
      <c r="AJ224" s="57"/>
      <c r="AK224" s="58"/>
      <c r="AL224" s="59">
        <f>$C$13</f>
        <v>120</v>
      </c>
      <c r="AM224" s="47">
        <f t="shared" si="71"/>
        <v>139.5</v>
      </c>
      <c r="AN224" s="48">
        <f t="shared" si="70"/>
        <v>139.5</v>
      </c>
      <c r="AR224" s="49">
        <v>111</v>
      </c>
      <c r="AS224" s="60">
        <f>IF(AS223&gt;7,AS223-AT224,0)</f>
        <v>0</v>
      </c>
      <c r="AT224" s="61">
        <f>MROUND($C$10*$C$13/60,2)</f>
        <v>30</v>
      </c>
      <c r="AU224" s="44"/>
      <c r="AV224" s="45">
        <f>$C$13</f>
        <v>120</v>
      </c>
      <c r="AW224" s="52">
        <f t="shared" si="72"/>
        <v>277</v>
      </c>
      <c r="AX224" s="48">
        <f t="shared" si="73"/>
        <v>0</v>
      </c>
      <c r="AY224" s="19"/>
    </row>
    <row r="225" spans="32:51" x14ac:dyDescent="0.2">
      <c r="AF225" s="62">
        <f>AF224</f>
        <v>28</v>
      </c>
      <c r="AG225" s="63"/>
      <c r="AH225" s="64">
        <f>$AL225</f>
        <v>7.5</v>
      </c>
      <c r="AI225" s="65"/>
      <c r="AJ225" s="65"/>
      <c r="AK225" s="46"/>
      <c r="AL225" s="66">
        <f>(Simulation!$D$13-(Simulation!$D$13*Simulation!$D$12))/2</f>
        <v>7.5</v>
      </c>
      <c r="AM225" s="47">
        <f t="shared" si="71"/>
        <v>139.625</v>
      </c>
      <c r="AN225" s="48">
        <f t="shared" si="70"/>
        <v>139.625</v>
      </c>
      <c r="AR225" s="49"/>
      <c r="AS225" s="67">
        <f>AS224</f>
        <v>0</v>
      </c>
      <c r="AT225" s="51"/>
      <c r="AU225" s="68">
        <f>Simulation!$D$13</f>
        <v>30</v>
      </c>
      <c r="AV225" s="53">
        <f>$AU$5</f>
        <v>30</v>
      </c>
      <c r="AW225" s="52">
        <f t="shared" si="72"/>
        <v>277.5</v>
      </c>
      <c r="AX225" s="48">
        <f t="shared" si="73"/>
        <v>0</v>
      </c>
      <c r="AY225" s="19"/>
    </row>
    <row r="226" spans="32:51" x14ac:dyDescent="0.2">
      <c r="AF226" s="62">
        <f>AF225+AI226</f>
        <v>58</v>
      </c>
      <c r="AG226" s="63"/>
      <c r="AH226" s="46"/>
      <c r="AI226" s="69">
        <f>IF(AJ226&gt;0,IF(Simulation!$C$10="Lithium",VLOOKUP(AJ226+$C$16,Tabella4[],3)-AF225,0),0)</f>
        <v>30</v>
      </c>
      <c r="AJ226" s="69">
        <f>IF(AF225&gt;7,VLOOKUP(AF225,Tabella44[],2),0)</f>
        <v>7</v>
      </c>
      <c r="AK226" s="46"/>
      <c r="AL226" s="70">
        <f>Simulation!$D$13*Simulation!$D$12</f>
        <v>15</v>
      </c>
      <c r="AM226" s="47">
        <f t="shared" si="71"/>
        <v>139.875</v>
      </c>
      <c r="AN226" s="48">
        <f t="shared" si="70"/>
        <v>139.875</v>
      </c>
      <c r="AR226" s="49">
        <v>112</v>
      </c>
      <c r="AS226" s="60">
        <f>IF(AS225&gt;7,AS225-AT226,0)</f>
        <v>0</v>
      </c>
      <c r="AT226" s="61">
        <f>MROUND($C$10*$C$13/60,2)</f>
        <v>30</v>
      </c>
      <c r="AU226" s="44"/>
      <c r="AV226" s="45">
        <f>$C$13</f>
        <v>120</v>
      </c>
      <c r="AW226" s="52">
        <f t="shared" si="72"/>
        <v>279.5</v>
      </c>
      <c r="AX226" s="48">
        <f t="shared" si="73"/>
        <v>0</v>
      </c>
      <c r="AY226" s="19"/>
    </row>
    <row r="227" spans="32:51" ht="15" thickBot="1" x14ac:dyDescent="0.25">
      <c r="AF227" s="110">
        <f>AF226</f>
        <v>58</v>
      </c>
      <c r="AG227" s="111"/>
      <c r="AH227" s="112"/>
      <c r="AI227" s="113"/>
      <c r="AJ227" s="113"/>
      <c r="AK227" s="114">
        <f>$AL227</f>
        <v>7.5</v>
      </c>
      <c r="AL227" s="115">
        <f>(Simulation!$D$13-(Simulation!$D$13*Simulation!$D$12))/2</f>
        <v>7.5</v>
      </c>
      <c r="AM227" s="116">
        <f t="shared" si="71"/>
        <v>140</v>
      </c>
      <c r="AN227" s="117">
        <f t="shared" si="70"/>
        <v>140</v>
      </c>
      <c r="AR227" s="49"/>
      <c r="AS227" s="118">
        <f>AS226</f>
        <v>0</v>
      </c>
      <c r="AT227" s="119"/>
      <c r="AU227" s="114">
        <f>Simulation!$D$13</f>
        <v>30</v>
      </c>
      <c r="AV227" s="120">
        <f>$AU$5</f>
        <v>30</v>
      </c>
      <c r="AW227" s="121">
        <f t="shared" si="72"/>
        <v>280</v>
      </c>
      <c r="AX227" s="117">
        <f t="shared" si="73"/>
        <v>0</v>
      </c>
      <c r="AY227" s="19"/>
    </row>
    <row r="228" spans="32:51" x14ac:dyDescent="0.2">
      <c r="AR228" s="16"/>
      <c r="AS228" s="19"/>
      <c r="AT228" s="19"/>
      <c r="AU228" s="19"/>
      <c r="AV228" s="29"/>
      <c r="AW228" s="19"/>
      <c r="AX228" s="19"/>
      <c r="AY228" s="19"/>
    </row>
  </sheetData>
  <sheetProtection algorithmName="SHA-512" hashValue="51auaLnK7zXkPNDZhpLiJqe5FNQFPs47TKDPs0yoFEPic6LpPJ+CGwxegz86bvylIiC0ZEZePGRKwAyV7s9KCQ==" saltValue="YpS+x7Pg8vbv+MGxfqx/uw==" spinCount="100000" sheet="1" objects="1" scenarios="1" selectLockedCells="1" selectUnlockedCells="1"/>
  <mergeCells count="7">
    <mergeCell ref="Y111:Z111"/>
    <mergeCell ref="G1:J1"/>
    <mergeCell ref="L1:W1"/>
    <mergeCell ref="Y1:Z1"/>
    <mergeCell ref="Y106:AA107"/>
    <mergeCell ref="G71:J71"/>
    <mergeCell ref="L71:W71"/>
  </mergeCells>
  <dataValidations disablePrompts="1" count="6">
    <dataValidation type="list" allowBlank="1" showInputMessage="1" showErrorMessage="1" sqref="B26 B81 B106" xr:uid="{00000000-0002-0000-0100-000000000000}">
      <formula1>"15 min,30 min,60 min"</formula1>
    </dataValidation>
    <dataValidation type="list" allowBlank="1" showInputMessage="1" showErrorMessage="1" sqref="B25 B80 B105" xr:uid="{00000000-0002-0000-0100-000001000000}">
      <formula1>"No,Metà,Tutta,"</formula1>
    </dataValidation>
    <dataValidation type="list" allowBlank="1" showInputMessage="1" showErrorMessage="1" sqref="B19 B74 B99" xr:uid="{00000000-0002-0000-0100-000002000000}">
      <formula1>"Si,No,"</formula1>
    </dataValidation>
    <dataValidation type="list" allowBlank="1" showInputMessage="1" showErrorMessage="1" sqref="B23 B78 B103" xr:uid="{00000000-0002-0000-0100-000003000000}">
      <formula1>"Litio,Piombo,"</formula1>
    </dataValidation>
    <dataValidation type="list" allowBlank="1" showInputMessage="1" showErrorMessage="1" sqref="B24 B79 B104" xr:uid="{00000000-0002-0000-0100-000004000000}">
      <formula1>"1x,2x,"</formula1>
    </dataValidation>
    <dataValidation type="list" allowBlank="1" showInputMessage="1" showErrorMessage="1" sqref="B76 B101" xr:uid="{00000000-0002-0000-0100-000005000000}">
      <formula1>"PH,PA,"</formula1>
    </dataValidation>
  </dataValidations>
  <pageMargins left="0.94488188976377963" right="0.55118110236220474" top="0.98425196850393704" bottom="0.78740157480314965" header="0.47244094488188981" footer="0.47244094488188981"/>
  <pageSetup paperSize="9"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Simulation</vt:lpstr>
      <vt:lpstr>Calculation</vt:lpstr>
      <vt:lpstr>Simulation!Area_stampa</vt:lpstr>
    </vt:vector>
  </TitlesOfParts>
  <Company>Bucher Municipal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Terragno, Matteo</dc:creator>
  <cp:lastModifiedBy>Vigliengo, Alex</cp:lastModifiedBy>
  <cp:lastPrinted>2017-11-30T12:42:41Z</cp:lastPrinted>
  <dcterms:created xsi:type="dcterms:W3CDTF">2017-11-15T13:17:08Z</dcterms:created>
  <dcterms:modified xsi:type="dcterms:W3CDTF">2021-03-15T08:58:41Z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eba05f-5928-437b-aac0-a57b2de74a26_Enabled">
    <vt:lpwstr>true</vt:lpwstr>
  </property>
  <property fmtid="{D5CDD505-2E9C-101B-9397-08002B2CF9AE}" pid="3" name="MSIP_Label_15eba05f-5928-437b-aac0-a57b2de74a26_SetDate">
    <vt:lpwstr>2020-11-17T12:07:45Z</vt:lpwstr>
  </property>
  <property fmtid="{D5CDD505-2E9C-101B-9397-08002B2CF9AE}" pid="4" name="MSIP_Label_15eba05f-5928-437b-aac0-a57b2de74a26_Method">
    <vt:lpwstr>Standard</vt:lpwstr>
  </property>
  <property fmtid="{D5CDD505-2E9C-101B-9397-08002B2CF9AE}" pid="5" name="MSIP_Label_15eba05f-5928-437b-aac0-a57b2de74a26_Name">
    <vt:lpwstr>15eba05f-5928-437b-aac0-a57b2de74a26</vt:lpwstr>
  </property>
  <property fmtid="{D5CDD505-2E9C-101B-9397-08002B2CF9AE}" pid="6" name="MSIP_Label_15eba05f-5928-437b-aac0-a57b2de74a26_SiteId">
    <vt:lpwstr>ce896e4e-701d-4691-8bbb-e7059c7dc33d</vt:lpwstr>
  </property>
  <property fmtid="{D5CDD505-2E9C-101B-9397-08002B2CF9AE}" pid="7" name="MSIP_Label_15eba05f-5928-437b-aac0-a57b2de74a26_ActionId">
    <vt:lpwstr>e3961202-29ec-484f-9321-0000b3378609</vt:lpwstr>
  </property>
  <property fmtid="{D5CDD505-2E9C-101B-9397-08002B2CF9AE}" pid="8" name="MSIP_Label_15eba05f-5928-437b-aac0-a57b2de74a26_ContentBits">
    <vt:lpwstr>0</vt:lpwstr>
  </property>
</Properties>
</file>